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bookViews>
    <workbookView xWindow="0" yWindow="60" windowWidth="19410" windowHeight="7695" tabRatio="859" firstSheet="5" activeTab="7"/>
  </bookViews>
  <sheets>
    <sheet name="0.Ajuda" sheetId="8" r:id="rId1"/>
    <sheet name="1. Identificação Ben. Oper." sheetId="3" r:id="rId2"/>
    <sheet name="2. Medidas c)" sheetId="28" r:id="rId3"/>
    <sheet name="3. Medidas d)" sheetId="18" r:id="rId4"/>
    <sheet name="4. Outras despesas art. 7º" sheetId="30" r:id="rId5"/>
    <sheet name="5. Apoio reembolsável" sheetId="5" r:id="rId6"/>
    <sheet name="6. Indicadores" sheetId="33" r:id="rId7"/>
    <sheet name="7. Mérito da Operação IP" sheetId="35" r:id="rId8"/>
    <sheet name="8. VAL Global até 25 anos" sheetId="4" r:id="rId9"/>
    <sheet name="9. Fatores de conversão" sheetId="19" r:id="rId10"/>
    <sheet name="Aviso MP_Tip c)" sheetId="36" r:id="rId11"/>
  </sheets>
  <definedNames>
    <definedName name="_xlnm.Print_Area" localSheetId="7">'7. Mérito da Operação IP'!$B$2:$L$28</definedName>
    <definedName name="_xlnm.Print_Area" localSheetId="10">'Aviso MP_Tip c)'!$A$1:$K$19</definedName>
    <definedName name="POR_Centro">'9. Fatores de conversão'!$A$19:$B$24</definedName>
    <definedName name="Taxas_NãoReemb_Superior1M€">'9. Fatores de conversão'!$A$19:$B$24</definedName>
    <definedName name="_xlnm.Print_Titles" localSheetId="10">'Aviso MP_Tip c)'!$1:$14</definedName>
  </definedNames>
  <calcPr calcId="145621"/>
</workbook>
</file>

<file path=xl/calcChain.xml><?xml version="1.0" encoding="utf-8"?>
<calcChain xmlns="http://schemas.openxmlformats.org/spreadsheetml/2006/main">
  <c r="E18" i="33" l="1"/>
  <c r="F5" i="35"/>
  <c r="F8" i="35" l="1"/>
  <c r="E8" i="35"/>
  <c r="I6" i="19"/>
  <c r="C24" i="35"/>
  <c r="B17" i="35"/>
  <c r="C13" i="35"/>
  <c r="F33" i="5"/>
  <c r="C11" i="35"/>
  <c r="C12" i="35"/>
  <c r="E36" i="5"/>
  <c r="C10" i="35"/>
  <c r="C9" i="35"/>
  <c r="E2" i="35"/>
  <c r="F20" i="36" l="1"/>
  <c r="G8" i="35"/>
  <c r="C22" i="35" s="1"/>
  <c r="E11" i="35"/>
  <c r="F11" i="35" l="1"/>
  <c r="G11" i="35" s="1"/>
  <c r="C23" i="35" s="1"/>
  <c r="D6" i="5" l="1"/>
  <c r="C34" i="28" l="1"/>
  <c r="E34" i="28"/>
  <c r="F34" i="28"/>
  <c r="C35" i="28"/>
  <c r="E35" i="28"/>
  <c r="F35" i="28"/>
  <c r="C36" i="28"/>
  <c r="E36" i="28"/>
  <c r="F36" i="28"/>
  <c r="C37" i="28"/>
  <c r="E37" i="28"/>
  <c r="F37" i="28"/>
  <c r="C38" i="28"/>
  <c r="E38" i="28"/>
  <c r="F38" i="28"/>
  <c r="C39" i="28"/>
  <c r="E39" i="28"/>
  <c r="F39" i="28"/>
  <c r="C40" i="28"/>
  <c r="E40" i="28"/>
  <c r="F40" i="28"/>
  <c r="C41" i="28"/>
  <c r="E41" i="28"/>
  <c r="F41" i="28"/>
  <c r="C42" i="28"/>
  <c r="E42" i="28"/>
  <c r="F42" i="28"/>
  <c r="C43" i="28"/>
  <c r="E43" i="28"/>
  <c r="F43" i="28"/>
  <c r="J55" i="28"/>
  <c r="K55" i="28"/>
  <c r="L55" i="28"/>
  <c r="M55" i="28"/>
  <c r="N55" i="28"/>
  <c r="O55" i="28"/>
  <c r="P55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AC55" i="28"/>
  <c r="AD55" i="28"/>
  <c r="AE55" i="28"/>
  <c r="AF55" i="28"/>
  <c r="AG55" i="28"/>
  <c r="AH55" i="28"/>
  <c r="J56" i="28"/>
  <c r="K56" i="28"/>
  <c r="L56" i="28"/>
  <c r="M56" i="28"/>
  <c r="N56" i="28"/>
  <c r="O56" i="28"/>
  <c r="P56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AC56" i="28"/>
  <c r="AD56" i="28"/>
  <c r="AE56" i="28"/>
  <c r="AF56" i="28"/>
  <c r="AG56" i="28"/>
  <c r="AH56" i="28"/>
  <c r="J57" i="28"/>
  <c r="K57" i="28"/>
  <c r="L57" i="28"/>
  <c r="M57" i="28"/>
  <c r="N57" i="28"/>
  <c r="O57" i="28"/>
  <c r="P57" i="28"/>
  <c r="Q57" i="28"/>
  <c r="R57" i="28"/>
  <c r="S57" i="28"/>
  <c r="T57" i="28"/>
  <c r="U57" i="28"/>
  <c r="V57" i="28"/>
  <c r="W57" i="28"/>
  <c r="X57" i="28"/>
  <c r="Y57" i="28"/>
  <c r="Z57" i="28"/>
  <c r="AA57" i="28"/>
  <c r="AB57" i="28"/>
  <c r="AC57" i="28"/>
  <c r="AD57" i="28"/>
  <c r="AE57" i="28"/>
  <c r="AF57" i="28"/>
  <c r="AG57" i="28"/>
  <c r="AH57" i="28"/>
  <c r="J58" i="28"/>
  <c r="K58" i="28"/>
  <c r="L58" i="28"/>
  <c r="M58" i="28"/>
  <c r="N58" i="28"/>
  <c r="O58" i="28"/>
  <c r="P58" i="28"/>
  <c r="Q58" i="28"/>
  <c r="R58" i="28"/>
  <c r="S58" i="28"/>
  <c r="T58" i="28"/>
  <c r="U58" i="28"/>
  <c r="V58" i="28"/>
  <c r="W58" i="28"/>
  <c r="X58" i="28"/>
  <c r="Y58" i="28"/>
  <c r="Z58" i="28"/>
  <c r="AA58" i="28"/>
  <c r="AB58" i="28"/>
  <c r="AC58" i="28"/>
  <c r="AD58" i="28"/>
  <c r="AE58" i="28"/>
  <c r="AF58" i="28"/>
  <c r="AG58" i="28"/>
  <c r="AH58" i="28"/>
  <c r="J59" i="28"/>
  <c r="K59" i="28"/>
  <c r="L59" i="28"/>
  <c r="M59" i="28"/>
  <c r="N59" i="28"/>
  <c r="O59" i="28"/>
  <c r="P59" i="28"/>
  <c r="Q59" i="28"/>
  <c r="R59" i="28"/>
  <c r="S59" i="28"/>
  <c r="T59" i="28"/>
  <c r="U59" i="28"/>
  <c r="V59" i="28"/>
  <c r="W59" i="28"/>
  <c r="X59" i="28"/>
  <c r="Y59" i="28"/>
  <c r="Z59" i="28"/>
  <c r="AA59" i="28"/>
  <c r="AB59" i="28"/>
  <c r="AC59" i="28"/>
  <c r="AD59" i="28"/>
  <c r="AE59" i="28"/>
  <c r="AF59" i="28"/>
  <c r="AG59" i="28"/>
  <c r="AH59" i="28"/>
  <c r="J60" i="28"/>
  <c r="K60" i="28"/>
  <c r="L60" i="28"/>
  <c r="M60" i="28"/>
  <c r="N60" i="28"/>
  <c r="O60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AC60" i="28"/>
  <c r="AD60" i="28"/>
  <c r="AE60" i="28"/>
  <c r="AF60" i="28"/>
  <c r="AG60" i="28"/>
  <c r="AH60" i="28"/>
  <c r="J61" i="28"/>
  <c r="K61" i="28"/>
  <c r="L61" i="28"/>
  <c r="M61" i="28"/>
  <c r="N61" i="28"/>
  <c r="O61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61" i="28"/>
  <c r="AC61" i="28"/>
  <c r="AD61" i="28"/>
  <c r="AE61" i="28"/>
  <c r="AF61" i="28"/>
  <c r="AG61" i="28"/>
  <c r="AH61" i="28"/>
  <c r="J62" i="28"/>
  <c r="K62" i="28"/>
  <c r="L62" i="28"/>
  <c r="M62" i="28"/>
  <c r="N62" i="28"/>
  <c r="O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C62" i="28"/>
  <c r="AD62" i="28"/>
  <c r="AE62" i="28"/>
  <c r="AF62" i="28"/>
  <c r="AG62" i="28"/>
  <c r="AH62" i="28"/>
  <c r="J63" i="28"/>
  <c r="K63" i="28"/>
  <c r="L63" i="28"/>
  <c r="M63" i="28"/>
  <c r="N63" i="28"/>
  <c r="O63" i="28"/>
  <c r="P63" i="28"/>
  <c r="Q63" i="28"/>
  <c r="R63" i="28"/>
  <c r="S63" i="28"/>
  <c r="T63" i="28"/>
  <c r="U63" i="28"/>
  <c r="V63" i="28"/>
  <c r="W63" i="28"/>
  <c r="X63" i="28"/>
  <c r="Y63" i="28"/>
  <c r="Z63" i="28"/>
  <c r="AA63" i="28"/>
  <c r="AB63" i="28"/>
  <c r="AC63" i="28"/>
  <c r="AD63" i="28"/>
  <c r="AE63" i="28"/>
  <c r="AF63" i="28"/>
  <c r="AG63" i="28"/>
  <c r="AH63" i="28"/>
  <c r="J64" i="28"/>
  <c r="K64" i="28"/>
  <c r="L64" i="28"/>
  <c r="M64" i="28"/>
  <c r="N64" i="28"/>
  <c r="O64" i="28"/>
  <c r="P64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AC64" i="28"/>
  <c r="AD64" i="28"/>
  <c r="AE64" i="28"/>
  <c r="AF64" i="28"/>
  <c r="AG64" i="28"/>
  <c r="AH64" i="28"/>
  <c r="J65" i="28"/>
  <c r="K65" i="28"/>
  <c r="L65" i="28"/>
  <c r="M65" i="28"/>
  <c r="N65" i="28"/>
  <c r="O65" i="28"/>
  <c r="P65" i="28"/>
  <c r="Q65" i="28"/>
  <c r="R65" i="28"/>
  <c r="S65" i="28"/>
  <c r="T65" i="28"/>
  <c r="U65" i="28"/>
  <c r="V65" i="28"/>
  <c r="W65" i="28"/>
  <c r="X65" i="28"/>
  <c r="Y65" i="28"/>
  <c r="Z65" i="28"/>
  <c r="AA65" i="28"/>
  <c r="AB65" i="28"/>
  <c r="AC65" i="28"/>
  <c r="AD65" i="28"/>
  <c r="AE65" i="28"/>
  <c r="AF65" i="28"/>
  <c r="AG65" i="28"/>
  <c r="AH65" i="28"/>
  <c r="J66" i="28"/>
  <c r="K66" i="28"/>
  <c r="L66" i="28"/>
  <c r="M66" i="28"/>
  <c r="N66" i="28"/>
  <c r="O66" i="28"/>
  <c r="P66" i="28"/>
  <c r="Q66" i="28"/>
  <c r="R66" i="28"/>
  <c r="S66" i="28"/>
  <c r="T66" i="28"/>
  <c r="U66" i="28"/>
  <c r="V66" i="28"/>
  <c r="W66" i="28"/>
  <c r="X66" i="28"/>
  <c r="Y66" i="28"/>
  <c r="Z66" i="28"/>
  <c r="AA66" i="28"/>
  <c r="AB66" i="28"/>
  <c r="AC66" i="28"/>
  <c r="AD66" i="28"/>
  <c r="AE66" i="28"/>
  <c r="AF66" i="28"/>
  <c r="AG66" i="28"/>
  <c r="AH66" i="28"/>
  <c r="I25" i="28" l="1"/>
  <c r="E25" i="33" s="1"/>
  <c r="E6" i="4" l="1"/>
  <c r="F42" i="5" l="1"/>
  <c r="F43" i="5"/>
  <c r="H12" i="30" l="1"/>
  <c r="H13" i="30"/>
  <c r="H14" i="30"/>
  <c r="H15" i="30"/>
  <c r="H16" i="30"/>
  <c r="H17" i="30"/>
  <c r="H18" i="30"/>
  <c r="H19" i="30"/>
  <c r="H20" i="30"/>
  <c r="I12" i="18"/>
  <c r="I13" i="18"/>
  <c r="I14" i="18"/>
  <c r="I15" i="18"/>
  <c r="I16" i="18"/>
  <c r="AD11" i="28"/>
  <c r="AD12" i="28"/>
  <c r="AD13" i="28"/>
  <c r="AD14" i="28"/>
  <c r="AD15" i="28"/>
  <c r="AD16" i="28"/>
  <c r="AD17" i="28"/>
  <c r="AD18" i="28"/>
  <c r="AD19" i="28"/>
  <c r="AD20" i="28"/>
  <c r="AD21" i="28"/>
  <c r="AD22" i="28"/>
  <c r="AD23" i="28"/>
  <c r="AD24" i="28"/>
  <c r="AD10" i="28"/>
  <c r="AD25" i="28" l="1"/>
  <c r="AC25" i="28"/>
  <c r="AE25" i="28"/>
  <c r="AB25" i="28"/>
  <c r="Y25" i="28"/>
  <c r="E26" i="28" l="1"/>
  <c r="O25" i="28"/>
  <c r="X25" i="28"/>
  <c r="S13" i="28"/>
  <c r="D37" i="28" s="1"/>
  <c r="G37" i="28" s="1"/>
  <c r="J37" i="28" s="1"/>
  <c r="S14" i="28"/>
  <c r="D38" i="28" s="1"/>
  <c r="G38" i="28" s="1"/>
  <c r="J38" i="28" s="1"/>
  <c r="S15" i="28"/>
  <c r="D39" i="28" s="1"/>
  <c r="G39" i="28" s="1"/>
  <c r="J39" i="28" s="1"/>
  <c r="S16" i="28"/>
  <c r="D40" i="28" s="1"/>
  <c r="G40" i="28" s="1"/>
  <c r="J40" i="28" s="1"/>
  <c r="S17" i="28"/>
  <c r="D41" i="28" s="1"/>
  <c r="G41" i="28" s="1"/>
  <c r="J41" i="28" s="1"/>
  <c r="S18" i="28"/>
  <c r="D42" i="28" s="1"/>
  <c r="G42" i="28" s="1"/>
  <c r="J42" i="28" s="1"/>
  <c r="S19" i="28"/>
  <c r="D43" i="28" s="1"/>
  <c r="G43" i="28" s="1"/>
  <c r="J43" i="28" s="1"/>
  <c r="S20" i="28"/>
  <c r="S21" i="28"/>
  <c r="S22" i="28"/>
  <c r="S23" i="28"/>
  <c r="S24" i="28"/>
  <c r="R24" i="28"/>
  <c r="R11" i="28"/>
  <c r="R12" i="28"/>
  <c r="R13" i="28"/>
  <c r="R14" i="28"/>
  <c r="R15" i="28"/>
  <c r="R16" i="28"/>
  <c r="R17" i="28"/>
  <c r="R18" i="28"/>
  <c r="R19" i="28"/>
  <c r="R20" i="28"/>
  <c r="R21" i="28"/>
  <c r="R22" i="28"/>
  <c r="R23" i="28"/>
  <c r="R10" i="28"/>
  <c r="S10" i="28" s="1"/>
  <c r="D34" i="28" s="1"/>
  <c r="G34" i="28" s="1"/>
  <c r="Q24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3" i="28"/>
  <c r="Q10" i="28"/>
  <c r="L11" i="28"/>
  <c r="L12" i="28"/>
  <c r="L13" i="28"/>
  <c r="L14" i="28"/>
  <c r="L15" i="28"/>
  <c r="L16" i="28"/>
  <c r="L17" i="28"/>
  <c r="L18" i="28"/>
  <c r="L19" i="28"/>
  <c r="L20" i="28"/>
  <c r="L21" i="28"/>
  <c r="L22" i="28"/>
  <c r="L23" i="28"/>
  <c r="L24" i="28"/>
  <c r="L10" i="28"/>
  <c r="J25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10" i="28"/>
  <c r="N25" i="28"/>
  <c r="P13" i="28"/>
  <c r="K11" i="28"/>
  <c r="D12" i="33"/>
  <c r="D10" i="33"/>
  <c r="I8" i="33"/>
  <c r="D8" i="33"/>
  <c r="E26" i="33" l="1"/>
  <c r="E30" i="5"/>
  <c r="T23" i="28"/>
  <c r="D65" i="28"/>
  <c r="T19" i="28"/>
  <c r="D61" i="28"/>
  <c r="T15" i="28"/>
  <c r="D57" i="28"/>
  <c r="T21" i="28"/>
  <c r="D63" i="28"/>
  <c r="T17" i="28"/>
  <c r="D59" i="28"/>
  <c r="T13" i="28"/>
  <c r="D55" i="28"/>
  <c r="T20" i="28"/>
  <c r="D62" i="28"/>
  <c r="T16" i="28"/>
  <c r="D58" i="28"/>
  <c r="T22" i="28"/>
  <c r="D64" i="28"/>
  <c r="T18" i="28"/>
  <c r="D60" i="28"/>
  <c r="T14" i="28"/>
  <c r="D56" i="28"/>
  <c r="T24" i="28"/>
  <c r="D66" i="28"/>
  <c r="T10" i="28"/>
  <c r="D52" i="28"/>
  <c r="T12" i="28"/>
  <c r="D54" i="28"/>
  <c r="S12" i="28"/>
  <c r="D36" i="28" s="1"/>
  <c r="G36" i="28" s="1"/>
  <c r="J36" i="28" s="1"/>
  <c r="T11" i="28"/>
  <c r="D53" i="28"/>
  <c r="S11" i="28"/>
  <c r="D35" i="28" s="1"/>
  <c r="G35" i="28" s="1"/>
  <c r="Q25" i="28"/>
  <c r="R25" i="28"/>
  <c r="T25" i="28" s="1"/>
  <c r="L25" i="28"/>
  <c r="P16" i="28"/>
  <c r="P23" i="28"/>
  <c r="P19" i="28"/>
  <c r="P15" i="28"/>
  <c r="P11" i="28"/>
  <c r="P10" i="28"/>
  <c r="P20" i="28"/>
  <c r="P12" i="28"/>
  <c r="P22" i="28"/>
  <c r="P18" i="28"/>
  <c r="P14" i="28"/>
  <c r="P24" i="28"/>
  <c r="P21" i="28"/>
  <c r="P17" i="28"/>
  <c r="K22" i="28"/>
  <c r="K10" i="28"/>
  <c r="K12" i="28"/>
  <c r="K18" i="28"/>
  <c r="K14" i="28"/>
  <c r="K21" i="28"/>
  <c r="K17" i="28"/>
  <c r="K13" i="28"/>
  <c r="K24" i="28"/>
  <c r="K20" i="28"/>
  <c r="K16" i="28"/>
  <c r="K23" i="28"/>
  <c r="K19" i="28"/>
  <c r="K15" i="28"/>
  <c r="S25" i="28" l="1"/>
  <c r="AF25" i="28" s="1"/>
  <c r="P25" i="28"/>
  <c r="K25" i="28"/>
  <c r="D48" i="3" l="1"/>
  <c r="D44" i="3"/>
  <c r="G22" i="35" s="1"/>
  <c r="F22" i="35" s="1"/>
  <c r="D46" i="3"/>
  <c r="E20" i="33" l="1"/>
  <c r="D45" i="3"/>
  <c r="E5" i="35" s="1"/>
  <c r="G5" i="35" s="1"/>
  <c r="C21" i="35" s="1"/>
  <c r="C27" i="35" s="1"/>
  <c r="C60" i="28"/>
  <c r="C59" i="28"/>
  <c r="C58" i="28"/>
  <c r="C57" i="28"/>
  <c r="C56" i="28"/>
  <c r="AA18" i="28"/>
  <c r="AF18" i="28"/>
  <c r="G60" i="28"/>
  <c r="AA17" i="28"/>
  <c r="AF17" i="28"/>
  <c r="G59" i="28"/>
  <c r="AA16" i="28"/>
  <c r="AF16" i="28"/>
  <c r="G58" i="28"/>
  <c r="AA15" i="28"/>
  <c r="AF15" i="28"/>
  <c r="G57" i="28"/>
  <c r="AA14" i="28"/>
  <c r="AF14" i="28"/>
  <c r="G56" i="28"/>
  <c r="L40" i="28" l="1"/>
  <c r="P40" i="28"/>
  <c r="T40" i="28"/>
  <c r="X40" i="28"/>
  <c r="AB40" i="28"/>
  <c r="AF40" i="28"/>
  <c r="K40" i="28"/>
  <c r="Q40" i="28"/>
  <c r="V40" i="28"/>
  <c r="AA40" i="28"/>
  <c r="AG40" i="28"/>
  <c r="M40" i="28"/>
  <c r="R40" i="28"/>
  <c r="W40" i="28"/>
  <c r="AC40" i="28"/>
  <c r="AH40" i="28"/>
  <c r="N40" i="28"/>
  <c r="S40" i="28"/>
  <c r="Y40" i="28"/>
  <c r="AD40" i="28"/>
  <c r="U40" i="28"/>
  <c r="Z40" i="28"/>
  <c r="AE40" i="28"/>
  <c r="O40" i="28"/>
  <c r="N42" i="28"/>
  <c r="O42" i="28"/>
  <c r="S42" i="28"/>
  <c r="W42" i="28"/>
  <c r="AA42" i="28"/>
  <c r="AE42" i="28"/>
  <c r="K42" i="28"/>
  <c r="P42" i="28"/>
  <c r="T42" i="28"/>
  <c r="X42" i="28"/>
  <c r="AB42" i="28"/>
  <c r="AF42" i="28"/>
  <c r="L42" i="28"/>
  <c r="Q42" i="28"/>
  <c r="U42" i="28"/>
  <c r="Y42" i="28"/>
  <c r="AC42" i="28"/>
  <c r="AG42" i="28"/>
  <c r="M42" i="28"/>
  <c r="AD42" i="28"/>
  <c r="R42" i="28"/>
  <c r="AH42" i="28"/>
  <c r="V42" i="28"/>
  <c r="Z42" i="28"/>
  <c r="M39" i="28"/>
  <c r="Q39" i="28"/>
  <c r="U39" i="28"/>
  <c r="Y39" i="28"/>
  <c r="AC39" i="28"/>
  <c r="AG39" i="28"/>
  <c r="O39" i="28"/>
  <c r="T39" i="28"/>
  <c r="Z39" i="28"/>
  <c r="AE39" i="28"/>
  <c r="K39" i="28"/>
  <c r="P39" i="28"/>
  <c r="V39" i="28"/>
  <c r="AA39" i="28"/>
  <c r="AF39" i="28"/>
  <c r="L39" i="28"/>
  <c r="R39" i="28"/>
  <c r="W39" i="28"/>
  <c r="AB39" i="28"/>
  <c r="AH39" i="28"/>
  <c r="X39" i="28"/>
  <c r="AD39" i="28"/>
  <c r="N39" i="28"/>
  <c r="S39" i="28"/>
  <c r="N38" i="28"/>
  <c r="R38" i="28"/>
  <c r="V38" i="28"/>
  <c r="Z38" i="28"/>
  <c r="AD38" i="28"/>
  <c r="AH38" i="28"/>
  <c r="M38" i="28"/>
  <c r="S38" i="28"/>
  <c r="X38" i="28"/>
  <c r="AC38" i="28"/>
  <c r="O38" i="28"/>
  <c r="T38" i="28"/>
  <c r="Y38" i="28"/>
  <c r="AE38" i="28"/>
  <c r="K38" i="28"/>
  <c r="P38" i="28"/>
  <c r="U38" i="28"/>
  <c r="AA38" i="28"/>
  <c r="AF38" i="28"/>
  <c r="AB38" i="28"/>
  <c r="L38" i="28"/>
  <c r="AG38" i="28"/>
  <c r="Q38" i="28"/>
  <c r="W38" i="28"/>
  <c r="K41" i="28"/>
  <c r="O41" i="28"/>
  <c r="S41" i="28"/>
  <c r="W41" i="28"/>
  <c r="AA41" i="28"/>
  <c r="AE41" i="28"/>
  <c r="M41" i="28"/>
  <c r="R41" i="28"/>
  <c r="X41" i="28"/>
  <c r="AC41" i="28"/>
  <c r="AH41" i="28"/>
  <c r="N41" i="28"/>
  <c r="T41" i="28"/>
  <c r="Y41" i="28"/>
  <c r="AD41" i="28"/>
  <c r="P41" i="28"/>
  <c r="U41" i="28"/>
  <c r="Z41" i="28"/>
  <c r="AF41" i="28"/>
  <c r="Q41" i="28"/>
  <c r="V41" i="28"/>
  <c r="AB41" i="28"/>
  <c r="L41" i="28"/>
  <c r="AG41" i="28"/>
  <c r="AI38" i="28" l="1"/>
  <c r="AI39" i="28"/>
  <c r="AI40" i="28"/>
  <c r="AI42" i="28"/>
  <c r="AI41" i="28"/>
  <c r="A14" i="19"/>
  <c r="I11" i="18"/>
  <c r="I17" i="18" s="1"/>
  <c r="E19" i="18" s="1"/>
  <c r="F31" i="5" s="1"/>
  <c r="D46" i="5" s="1"/>
  <c r="G46" i="5" s="1"/>
  <c r="G17" i="18"/>
  <c r="H17" i="18"/>
  <c r="AA10" i="28"/>
  <c r="J34" i="28" s="1"/>
  <c r="AA11" i="28"/>
  <c r="J35" i="28" s="1"/>
  <c r="AA12" i="28"/>
  <c r="AA13" i="28"/>
  <c r="AA19" i="28"/>
  <c r="F44" i="28"/>
  <c r="AA20" i="28"/>
  <c r="F45" i="28"/>
  <c r="AA21" i="28"/>
  <c r="F46" i="28"/>
  <c r="AA22" i="28"/>
  <c r="F47" i="28"/>
  <c r="AA23" i="28"/>
  <c r="F48" i="28"/>
  <c r="AA24" i="28"/>
  <c r="G52" i="28"/>
  <c r="G53" i="28"/>
  <c r="G54" i="28"/>
  <c r="G55" i="28"/>
  <c r="G61" i="28"/>
  <c r="I9" i="19"/>
  <c r="AF20" i="28"/>
  <c r="AF21" i="28"/>
  <c r="G21" i="30"/>
  <c r="E32" i="30"/>
  <c r="E31" i="30"/>
  <c r="AW24" i="30"/>
  <c r="AV24" i="30"/>
  <c r="AU24" i="30"/>
  <c r="F21" i="30"/>
  <c r="G63" i="28"/>
  <c r="G64" i="28"/>
  <c r="G65" i="28"/>
  <c r="G66" i="28"/>
  <c r="G62" i="28"/>
  <c r="C55" i="28"/>
  <c r="E48" i="28"/>
  <c r="C48" i="28"/>
  <c r="C66" i="28" s="1"/>
  <c r="E47" i="28"/>
  <c r="C47" i="28"/>
  <c r="C65" i="28" s="1"/>
  <c r="E46" i="28"/>
  <c r="C46" i="28"/>
  <c r="C64" i="28" s="1"/>
  <c r="E45" i="28"/>
  <c r="C45" i="28"/>
  <c r="C63" i="28" s="1"/>
  <c r="E44" i="28"/>
  <c r="C44" i="28"/>
  <c r="C62" i="28" s="1"/>
  <c r="C61" i="28"/>
  <c r="C54" i="28"/>
  <c r="C53" i="28"/>
  <c r="C52" i="28"/>
  <c r="AF11" i="28"/>
  <c r="AF22" i="28"/>
  <c r="D46" i="28"/>
  <c r="AF24" i="28"/>
  <c r="D48" i="28"/>
  <c r="AF13" i="28"/>
  <c r="AF19" i="28"/>
  <c r="AF12" i="28"/>
  <c r="J12" i="19"/>
  <c r="I8" i="19"/>
  <c r="I7" i="19"/>
  <c r="F8" i="19"/>
  <c r="F11" i="19"/>
  <c r="E10" i="19"/>
  <c r="F10" i="19" s="1"/>
  <c r="D10" i="19"/>
  <c r="E9" i="19"/>
  <c r="D9" i="19"/>
  <c r="E7" i="19"/>
  <c r="D7" i="19"/>
  <c r="F7" i="19" s="1"/>
  <c r="J7" i="19" s="1"/>
  <c r="F9" i="19"/>
  <c r="J9" i="19" s="1"/>
  <c r="H40" i="4"/>
  <c r="L40" i="4"/>
  <c r="H41" i="4"/>
  <c r="L41" i="4"/>
  <c r="H36" i="4"/>
  <c r="L36" i="4"/>
  <c r="H37" i="4"/>
  <c r="L37" i="4"/>
  <c r="H38" i="4"/>
  <c r="L38" i="4"/>
  <c r="H39" i="4"/>
  <c r="L39" i="4"/>
  <c r="H17" i="4"/>
  <c r="L17" i="4"/>
  <c r="H18" i="4"/>
  <c r="L18" i="4"/>
  <c r="H19" i="4"/>
  <c r="L19" i="4"/>
  <c r="H20" i="4"/>
  <c r="L20" i="4"/>
  <c r="H21" i="4"/>
  <c r="L21" i="4"/>
  <c r="H22" i="4"/>
  <c r="L22" i="4"/>
  <c r="H23" i="4"/>
  <c r="L23" i="4"/>
  <c r="H24" i="4"/>
  <c r="L24" i="4"/>
  <c r="H25" i="4"/>
  <c r="L25" i="4"/>
  <c r="H26" i="4"/>
  <c r="L26" i="4"/>
  <c r="H27" i="4"/>
  <c r="L27" i="4"/>
  <c r="H28" i="4"/>
  <c r="L28" i="4"/>
  <c r="H29" i="4"/>
  <c r="L29" i="4"/>
  <c r="H30" i="4"/>
  <c r="L30" i="4"/>
  <c r="H31" i="4"/>
  <c r="L31" i="4"/>
  <c r="H32" i="4"/>
  <c r="L32" i="4"/>
  <c r="H33" i="4"/>
  <c r="L33" i="4"/>
  <c r="H34" i="4"/>
  <c r="L34" i="4"/>
  <c r="H35" i="4"/>
  <c r="L35" i="4"/>
  <c r="L16" i="4"/>
  <c r="L54" i="28" l="1"/>
  <c r="P54" i="28"/>
  <c r="X54" i="28"/>
  <c r="AB54" i="28"/>
  <c r="AF54" i="28"/>
  <c r="M54" i="28"/>
  <c r="Q54" i="28"/>
  <c r="U54" i="28"/>
  <c r="Y54" i="28"/>
  <c r="AC54" i="28"/>
  <c r="AG54" i="28"/>
  <c r="J54" i="28"/>
  <c r="N54" i="28"/>
  <c r="R54" i="28"/>
  <c r="V54" i="28"/>
  <c r="Z54" i="28"/>
  <c r="AD54" i="28"/>
  <c r="AH54" i="28"/>
  <c r="K54" i="28"/>
  <c r="O54" i="28"/>
  <c r="S54" i="28"/>
  <c r="W54" i="28"/>
  <c r="AA54" i="28"/>
  <c r="AE54" i="28"/>
  <c r="T54" i="28"/>
  <c r="Y53" i="28"/>
  <c r="Z53" i="28"/>
  <c r="AA53" i="28"/>
  <c r="X53" i="28"/>
  <c r="AC53" i="28"/>
  <c r="AD53" i="28"/>
  <c r="AE53" i="28"/>
  <c r="AF53" i="28"/>
  <c r="V53" i="28"/>
  <c r="W53" i="28"/>
  <c r="AB53" i="28"/>
  <c r="AG53" i="28"/>
  <c r="AH53" i="28"/>
  <c r="M52" i="28"/>
  <c r="AC52" i="28"/>
  <c r="V52" i="28"/>
  <c r="K52" i="28"/>
  <c r="AA52" i="28"/>
  <c r="P52" i="28"/>
  <c r="AF52" i="28"/>
  <c r="Q52" i="28"/>
  <c r="AG52" i="28"/>
  <c r="Z52" i="28"/>
  <c r="O52" i="28"/>
  <c r="AE52" i="28"/>
  <c r="T52" i="28"/>
  <c r="Y52" i="28"/>
  <c r="R52" i="28"/>
  <c r="AH52" i="28"/>
  <c r="W52" i="28"/>
  <c r="L52" i="28"/>
  <c r="U52" i="28"/>
  <c r="N52" i="28"/>
  <c r="AD52" i="28"/>
  <c r="S52" i="28"/>
  <c r="J52" i="28"/>
  <c r="X52" i="28"/>
  <c r="AB52" i="28"/>
  <c r="T53" i="28"/>
  <c r="M53" i="28"/>
  <c r="R53" i="28"/>
  <c r="Q53" i="28"/>
  <c r="K53" i="28"/>
  <c r="L53" i="28"/>
  <c r="U53" i="28"/>
  <c r="J53" i="28"/>
  <c r="O53" i="28"/>
  <c r="P53" i="28"/>
  <c r="N53" i="28"/>
  <c r="S53" i="28"/>
  <c r="E18" i="18"/>
  <c r="G46" i="28"/>
  <c r="G48" i="28"/>
  <c r="M34" i="28"/>
  <c r="D45" i="28"/>
  <c r="G45" i="28" s="1"/>
  <c r="D44" i="28"/>
  <c r="G44" i="28" s="1"/>
  <c r="D47" i="28"/>
  <c r="G47" i="28" s="1"/>
  <c r="AF23" i="28"/>
  <c r="F23" i="30"/>
  <c r="AF10" i="28"/>
  <c r="J8" i="19"/>
  <c r="J17" i="18"/>
  <c r="E27" i="28"/>
  <c r="E32" i="5" l="1"/>
  <c r="E20" i="18"/>
  <c r="G31" i="5" s="1"/>
  <c r="E31" i="5"/>
  <c r="N43" i="28"/>
  <c r="R43" i="28"/>
  <c r="V43" i="28"/>
  <c r="Z43" i="28"/>
  <c r="AD43" i="28"/>
  <c r="AH43" i="28"/>
  <c r="K43" i="28"/>
  <c r="O43" i="28"/>
  <c r="S43" i="28"/>
  <c r="W43" i="28"/>
  <c r="AA43" i="28"/>
  <c r="AE43" i="28"/>
  <c r="L43" i="28"/>
  <c r="P43" i="28"/>
  <c r="T43" i="28"/>
  <c r="X43" i="28"/>
  <c r="AB43" i="28"/>
  <c r="AF43" i="28"/>
  <c r="U43" i="28"/>
  <c r="Y43" i="28"/>
  <c r="M43" i="28"/>
  <c r="AC43" i="28"/>
  <c r="Q43" i="28"/>
  <c r="AG43" i="28"/>
  <c r="J47" i="28"/>
  <c r="N47" i="28"/>
  <c r="R47" i="28"/>
  <c r="V47" i="28"/>
  <c r="Z47" i="28"/>
  <c r="AD47" i="28"/>
  <c r="AH47" i="28"/>
  <c r="K47" i="28"/>
  <c r="O47" i="28"/>
  <c r="S47" i="28"/>
  <c r="W47" i="28"/>
  <c r="AA47" i="28"/>
  <c r="AE47" i="28"/>
  <c r="X47" i="28"/>
  <c r="Q47" i="28"/>
  <c r="Y47" i="28"/>
  <c r="AG47" i="28"/>
  <c r="L47" i="28"/>
  <c r="T47" i="28"/>
  <c r="AB47" i="28"/>
  <c r="M47" i="28"/>
  <c r="U47" i="28"/>
  <c r="AC47" i="28"/>
  <c r="P47" i="28"/>
  <c r="AF47" i="28"/>
  <c r="M35" i="28"/>
  <c r="Q35" i="28"/>
  <c r="U35" i="28"/>
  <c r="O35" i="28"/>
  <c r="T35" i="28"/>
  <c r="Y35" i="28"/>
  <c r="AC35" i="28"/>
  <c r="AG35" i="28"/>
  <c r="K35" i="28"/>
  <c r="R35" i="28"/>
  <c r="X35" i="28"/>
  <c r="AD35" i="28"/>
  <c r="L35" i="28"/>
  <c r="S35" i="28"/>
  <c r="Z35" i="28"/>
  <c r="AE35" i="28"/>
  <c r="N35" i="28"/>
  <c r="V35" i="28"/>
  <c r="AA35" i="28"/>
  <c r="AF35" i="28"/>
  <c r="P35" i="28"/>
  <c r="W35" i="28"/>
  <c r="AB35" i="28"/>
  <c r="AH35" i="28"/>
  <c r="M48" i="28"/>
  <c r="Q48" i="28"/>
  <c r="U48" i="28"/>
  <c r="Y48" i="28"/>
  <c r="AC48" i="28"/>
  <c r="AG48" i="28"/>
  <c r="J48" i="28"/>
  <c r="N48" i="28"/>
  <c r="R48" i="28"/>
  <c r="V48" i="28"/>
  <c r="Z48" i="28"/>
  <c r="AD48" i="28"/>
  <c r="AH48" i="28"/>
  <c r="W48" i="28"/>
  <c r="P48" i="28"/>
  <c r="X48" i="28"/>
  <c r="AF48" i="28"/>
  <c r="K48" i="28"/>
  <c r="S48" i="28"/>
  <c r="AA48" i="28"/>
  <c r="L48" i="28"/>
  <c r="T48" i="28"/>
  <c r="AB48" i="28"/>
  <c r="O48" i="28"/>
  <c r="AE48" i="28"/>
  <c r="M44" i="28"/>
  <c r="Q44" i="28"/>
  <c r="U44" i="28"/>
  <c r="Y44" i="28"/>
  <c r="AC44" i="28"/>
  <c r="AG44" i="28"/>
  <c r="J44" i="28"/>
  <c r="N44" i="28"/>
  <c r="R44" i="28"/>
  <c r="V44" i="28"/>
  <c r="Z44" i="28"/>
  <c r="AD44" i="28"/>
  <c r="AH44" i="28"/>
  <c r="K44" i="28"/>
  <c r="O44" i="28"/>
  <c r="S44" i="28"/>
  <c r="W44" i="28"/>
  <c r="AA44" i="28"/>
  <c r="AE44" i="28"/>
  <c r="AB44" i="28"/>
  <c r="P44" i="28"/>
  <c r="AF44" i="28"/>
  <c r="T44" i="28"/>
  <c r="X44" i="28"/>
  <c r="L44" i="28"/>
  <c r="L36" i="28"/>
  <c r="P36" i="28"/>
  <c r="T36" i="28"/>
  <c r="X36" i="28"/>
  <c r="AB36" i="28"/>
  <c r="AF36" i="28"/>
  <c r="O36" i="28"/>
  <c r="U36" i="28"/>
  <c r="Z36" i="28"/>
  <c r="AE36" i="28"/>
  <c r="K36" i="28"/>
  <c r="Q36" i="28"/>
  <c r="V36" i="28"/>
  <c r="AA36" i="28"/>
  <c r="AG36" i="28"/>
  <c r="M36" i="28"/>
  <c r="R36" i="28"/>
  <c r="W36" i="28"/>
  <c r="AC36" i="28"/>
  <c r="AH36" i="28"/>
  <c r="N36" i="28"/>
  <c r="S36" i="28"/>
  <c r="Y36" i="28"/>
  <c r="AD36" i="28"/>
  <c r="K46" i="28"/>
  <c r="O46" i="28"/>
  <c r="S46" i="28"/>
  <c r="W46" i="28"/>
  <c r="AA46" i="28"/>
  <c r="AE46" i="28"/>
  <c r="L46" i="28"/>
  <c r="P46" i="28"/>
  <c r="T46" i="28"/>
  <c r="X46" i="28"/>
  <c r="AB46" i="28"/>
  <c r="AF46" i="28"/>
  <c r="Q46" i="28"/>
  <c r="J46" i="28"/>
  <c r="R46" i="28"/>
  <c r="Z46" i="28"/>
  <c r="AH46" i="28"/>
  <c r="M46" i="28"/>
  <c r="U46" i="28"/>
  <c r="AC46" i="28"/>
  <c r="N46" i="28"/>
  <c r="V46" i="28"/>
  <c r="AD46" i="28"/>
  <c r="Y46" i="28"/>
  <c r="AG46" i="28"/>
  <c r="L45" i="28"/>
  <c r="P45" i="28"/>
  <c r="T45" i="28"/>
  <c r="X45" i="28"/>
  <c r="AB45" i="28"/>
  <c r="AF45" i="28"/>
  <c r="R45" i="28"/>
  <c r="AD45" i="28"/>
  <c r="M45" i="28"/>
  <c r="Q45" i="28"/>
  <c r="U45" i="28"/>
  <c r="Y45" i="28"/>
  <c r="AC45" i="28"/>
  <c r="AG45" i="28"/>
  <c r="J45" i="28"/>
  <c r="N45" i="28"/>
  <c r="V45" i="28"/>
  <c r="Z45" i="28"/>
  <c r="W45" i="28"/>
  <c r="K45" i="28"/>
  <c r="AA45" i="28"/>
  <c r="O45" i="28"/>
  <c r="AE45" i="28"/>
  <c r="S45" i="28"/>
  <c r="AH45" i="28"/>
  <c r="K37" i="28"/>
  <c r="O37" i="28"/>
  <c r="S37" i="28"/>
  <c r="W37" i="28"/>
  <c r="AA37" i="28"/>
  <c r="AE37" i="28"/>
  <c r="L37" i="28"/>
  <c r="Q37" i="28"/>
  <c r="V37" i="28"/>
  <c r="AB37" i="28"/>
  <c r="AG37" i="28"/>
  <c r="M37" i="28"/>
  <c r="R37" i="28"/>
  <c r="X37" i="28"/>
  <c r="AC37" i="28"/>
  <c r="AH37" i="28"/>
  <c r="N37" i="28"/>
  <c r="T37" i="28"/>
  <c r="Y37" i="28"/>
  <c r="AD37" i="28"/>
  <c r="AF37" i="28"/>
  <c r="P37" i="28"/>
  <c r="U37" i="28"/>
  <c r="Z37" i="28"/>
  <c r="AH34" i="28"/>
  <c r="AD34" i="28"/>
  <c r="L34" i="28"/>
  <c r="Y34" i="28"/>
  <c r="U34" i="28"/>
  <c r="AB34" i="28"/>
  <c r="W34" i="28"/>
  <c r="R34" i="28"/>
  <c r="X34" i="28"/>
  <c r="S34" i="28"/>
  <c r="N34" i="28"/>
  <c r="T34" i="28"/>
  <c r="AE34" i="28"/>
  <c r="O34" i="28"/>
  <c r="Z34" i="28"/>
  <c r="AG34" i="28"/>
  <c r="Q34" i="28"/>
  <c r="AF34" i="28"/>
  <c r="P34" i="28"/>
  <c r="AA34" i="28"/>
  <c r="K34" i="28"/>
  <c r="V34" i="28"/>
  <c r="AC34" i="28"/>
  <c r="F30" i="5"/>
  <c r="E28" i="28"/>
  <c r="G30" i="5" s="1"/>
  <c r="U10" i="28"/>
  <c r="U18" i="28"/>
  <c r="U14" i="28"/>
  <c r="U17" i="28"/>
  <c r="U16" i="28"/>
  <c r="U15" i="28"/>
  <c r="U13" i="28"/>
  <c r="U22" i="28"/>
  <c r="U12" i="28"/>
  <c r="U19" i="28"/>
  <c r="U23" i="28"/>
  <c r="U11" i="28"/>
  <c r="U20" i="28"/>
  <c r="U24" i="28"/>
  <c r="U21" i="28"/>
  <c r="W15" i="28"/>
  <c r="V17" i="28"/>
  <c r="V24" i="28"/>
  <c r="W20" i="28"/>
  <c r="V18" i="28"/>
  <c r="W18" i="28"/>
  <c r="V22" i="28"/>
  <c r="W10" i="28"/>
  <c r="W16" i="28"/>
  <c r="V15" i="28"/>
  <c r="V16" i="28"/>
  <c r="V21" i="28"/>
  <c r="W12" i="28"/>
  <c r="W13" i="28"/>
  <c r="V14" i="28"/>
  <c r="W14" i="28"/>
  <c r="W17" i="28"/>
  <c r="W24" i="28"/>
  <c r="V10" i="28"/>
  <c r="W11" i="28"/>
  <c r="V11" i="28"/>
  <c r="W21" i="28"/>
  <c r="V19" i="28"/>
  <c r="V20" i="28"/>
  <c r="V23" i="28"/>
  <c r="W19" i="28"/>
  <c r="W23" i="28"/>
  <c r="V12" i="28"/>
  <c r="W22" i="28"/>
  <c r="V13" i="28"/>
  <c r="M67" i="28" l="1"/>
  <c r="G15" i="5" s="1"/>
  <c r="G16" i="5" s="1"/>
  <c r="AI37" i="28"/>
  <c r="AI43" i="28"/>
  <c r="E33" i="5"/>
  <c r="E5" i="4" s="1"/>
  <c r="D16" i="4" s="1"/>
  <c r="F16" i="4" s="1"/>
  <c r="G16" i="4" s="1"/>
  <c r="AH49" i="28"/>
  <c r="AB6" i="5" s="1"/>
  <c r="AB7" i="5" s="1"/>
  <c r="AE49" i="28"/>
  <c r="Y6" i="5" s="1"/>
  <c r="Y7" i="5" s="1"/>
  <c r="X49" i="28"/>
  <c r="R6" i="5" s="1"/>
  <c r="R7" i="5" s="1"/>
  <c r="AA49" i="28"/>
  <c r="U6" i="5" s="1"/>
  <c r="U7" i="5" s="1"/>
  <c r="T49" i="28"/>
  <c r="N6" i="5" s="1"/>
  <c r="N7" i="5" s="1"/>
  <c r="Y49" i="28"/>
  <c r="S6" i="5" s="1"/>
  <c r="S7" i="5" s="1"/>
  <c r="V49" i="28"/>
  <c r="P6" i="5" s="1"/>
  <c r="P7" i="5" s="1"/>
  <c r="AF49" i="28"/>
  <c r="Z6" i="5" s="1"/>
  <c r="Z7" i="5" s="1"/>
  <c r="AB49" i="28"/>
  <c r="V6" i="5" s="1"/>
  <c r="V7" i="5" s="1"/>
  <c r="AD49" i="28"/>
  <c r="X6" i="5" s="1"/>
  <c r="X7" i="5" s="1"/>
  <c r="AI46" i="28"/>
  <c r="AI44" i="28"/>
  <c r="AG49" i="28"/>
  <c r="AA6" i="5" s="1"/>
  <c r="AA7" i="5" s="1"/>
  <c r="AI45" i="28"/>
  <c r="AI48" i="28"/>
  <c r="AI47" i="28"/>
  <c r="AC49" i="28"/>
  <c r="W6" i="5" s="1"/>
  <c r="W7" i="5" s="1"/>
  <c r="W49" i="28"/>
  <c r="Q6" i="5" s="1"/>
  <c r="Q7" i="5" s="1"/>
  <c r="Z49" i="28"/>
  <c r="T6" i="5" s="1"/>
  <c r="T7" i="5" s="1"/>
  <c r="L49" i="28"/>
  <c r="F6" i="5" s="1"/>
  <c r="F7" i="5" s="1"/>
  <c r="Q49" i="28"/>
  <c r="K6" i="5" s="1"/>
  <c r="K7" i="5" s="1"/>
  <c r="AI36" i="28"/>
  <c r="O49" i="28"/>
  <c r="I6" i="5" s="1"/>
  <c r="I7" i="5" s="1"/>
  <c r="R49" i="28"/>
  <c r="L6" i="5" s="1"/>
  <c r="L7" i="5" s="1"/>
  <c r="P49" i="28"/>
  <c r="J6" i="5" s="1"/>
  <c r="J7" i="5" s="1"/>
  <c r="J49" i="28"/>
  <c r="U49" i="28"/>
  <c r="O6" i="5" s="1"/>
  <c r="O7" i="5" s="1"/>
  <c r="M49" i="28"/>
  <c r="G6" i="5" s="1"/>
  <c r="G7" i="5" s="1"/>
  <c r="S49" i="28"/>
  <c r="M6" i="5" s="1"/>
  <c r="M7" i="5" s="1"/>
  <c r="AI34" i="28"/>
  <c r="N49" i="28"/>
  <c r="H6" i="5" s="1"/>
  <c r="H7" i="5" s="1"/>
  <c r="K49" i="28"/>
  <c r="E6" i="5" s="1"/>
  <c r="E7" i="5" s="1"/>
  <c r="AI35" i="28"/>
  <c r="V25" i="28"/>
  <c r="W25" i="28"/>
  <c r="E19" i="33" s="1"/>
  <c r="U25" i="28"/>
  <c r="AD67" i="28" l="1"/>
  <c r="X15" i="5" s="1"/>
  <c r="X16" i="5" s="1"/>
  <c r="AI64" i="28"/>
  <c r="AA67" i="28"/>
  <c r="U15" i="5" s="1"/>
  <c r="U16" i="5" s="1"/>
  <c r="L67" i="28"/>
  <c r="F15" i="5" s="1"/>
  <c r="F16" i="5" s="1"/>
  <c r="W67" i="28"/>
  <c r="Q15" i="5" s="1"/>
  <c r="Q16" i="5" s="1"/>
  <c r="AI66" i="28"/>
  <c r="AI61" i="28"/>
  <c r="AI60" i="28"/>
  <c r="J67" i="28"/>
  <c r="D15" i="5" s="1"/>
  <c r="D16" i="5" s="1"/>
  <c r="AI52" i="28"/>
  <c r="AI59" i="28"/>
  <c r="AG67" i="28"/>
  <c r="AA15" i="5" s="1"/>
  <c r="AA16" i="5" s="1"/>
  <c r="AE67" i="28"/>
  <c r="Y15" i="5" s="1"/>
  <c r="Y16" i="5" s="1"/>
  <c r="Y67" i="28"/>
  <c r="S15" i="5" s="1"/>
  <c r="S16" i="5" s="1"/>
  <c r="S67" i="28"/>
  <c r="M15" i="5" s="1"/>
  <c r="M16" i="5" s="1"/>
  <c r="N67" i="28"/>
  <c r="H15" i="5" s="1"/>
  <c r="H16" i="5" s="1"/>
  <c r="Z67" i="28"/>
  <c r="T15" i="5" s="1"/>
  <c r="T16" i="5" s="1"/>
  <c r="AI63" i="28"/>
  <c r="X67" i="28"/>
  <c r="R15" i="5" s="1"/>
  <c r="R16" i="5" s="1"/>
  <c r="T67" i="28"/>
  <c r="N15" i="5" s="1"/>
  <c r="N16" i="5" s="1"/>
  <c r="AB67" i="28"/>
  <c r="V15" i="5" s="1"/>
  <c r="V16" i="5" s="1"/>
  <c r="O67" i="28"/>
  <c r="I15" i="5" s="1"/>
  <c r="I16" i="5" s="1"/>
  <c r="V67" i="28"/>
  <c r="P15" i="5" s="1"/>
  <c r="P16" i="5" s="1"/>
  <c r="AI57" i="28"/>
  <c r="AI58" i="28"/>
  <c r="AI65" i="28"/>
  <c r="AI55" i="28"/>
  <c r="AI54" i="28"/>
  <c r="AH67" i="28"/>
  <c r="AB15" i="5" s="1"/>
  <c r="AB16" i="5" s="1"/>
  <c r="U67" i="28"/>
  <c r="O15" i="5" s="1"/>
  <c r="O16" i="5" s="1"/>
  <c r="Q67" i="28"/>
  <c r="K15" i="5" s="1"/>
  <c r="K16" i="5" s="1"/>
  <c r="K67" i="28"/>
  <c r="E15" i="5" s="1"/>
  <c r="E16" i="5" s="1"/>
  <c r="AF67" i="28"/>
  <c r="Z15" i="5" s="1"/>
  <c r="Z16" i="5" s="1"/>
  <c r="P67" i="28"/>
  <c r="J15" i="5" s="1"/>
  <c r="J16" i="5" s="1"/>
  <c r="AC67" i="28"/>
  <c r="W15" i="5" s="1"/>
  <c r="W16" i="5" s="1"/>
  <c r="AI53" i="28"/>
  <c r="AI56" i="28"/>
  <c r="AI62" i="28"/>
  <c r="R67" i="28"/>
  <c r="L15" i="5" s="1"/>
  <c r="L16" i="5" s="1"/>
  <c r="I16" i="4"/>
  <c r="J16" i="4" s="1"/>
  <c r="G24" i="5"/>
  <c r="F24" i="5" s="1"/>
  <c r="E21" i="33"/>
  <c r="AI49" i="28"/>
  <c r="AD6" i="5"/>
  <c r="AC15" i="5" l="1"/>
  <c r="AI67" i="28"/>
  <c r="AC6" i="5"/>
  <c r="AC16" i="5"/>
  <c r="E19" i="4"/>
  <c r="F19" i="4" s="1"/>
  <c r="E25" i="4"/>
  <c r="F25" i="4" s="1"/>
  <c r="E36" i="4"/>
  <c r="F36" i="4" s="1"/>
  <c r="E18" i="4"/>
  <c r="F18" i="4" s="1"/>
  <c r="E35" i="4"/>
  <c r="F35" i="4" s="1"/>
  <c r="E27" i="4"/>
  <c r="F27" i="4" s="1"/>
  <c r="E23" i="4"/>
  <c r="F23" i="4" s="1"/>
  <c r="E29" i="4"/>
  <c r="F29" i="4" s="1"/>
  <c r="E40" i="4"/>
  <c r="F40" i="4" s="1"/>
  <c r="E41" i="4"/>
  <c r="F41" i="4" s="1"/>
  <c r="E38" i="4"/>
  <c r="F38" i="4" s="1"/>
  <c r="E31" i="4"/>
  <c r="F31" i="4" s="1"/>
  <c r="E32" i="4"/>
  <c r="F32" i="4" s="1"/>
  <c r="E20" i="4"/>
  <c r="F20" i="4" s="1"/>
  <c r="E21" i="4"/>
  <c r="F21" i="4" s="1"/>
  <c r="E26" i="4"/>
  <c r="F26" i="4" s="1"/>
  <c r="E28" i="4"/>
  <c r="F28" i="4" s="1"/>
  <c r="E39" i="4"/>
  <c r="F39" i="4" s="1"/>
  <c r="E24" i="4"/>
  <c r="F24" i="4" s="1"/>
  <c r="E22" i="4"/>
  <c r="F22" i="4" s="1"/>
  <c r="E34" i="4"/>
  <c r="F34" i="4" s="1"/>
  <c r="E33" i="4"/>
  <c r="F33" i="4" s="1"/>
  <c r="E37" i="4"/>
  <c r="F37" i="4" s="1"/>
  <c r="D7" i="5"/>
  <c r="E17" i="4" s="1"/>
  <c r="F17" i="4" s="1"/>
  <c r="E30" i="4"/>
  <c r="F30" i="4" s="1"/>
  <c r="D52" i="5" l="1"/>
  <c r="AC7" i="5"/>
  <c r="D8" i="5"/>
  <c r="I25" i="4"/>
  <c r="I35" i="4"/>
  <c r="I30" i="4"/>
  <c r="I40" i="4"/>
  <c r="I18" i="4"/>
  <c r="I26" i="4"/>
  <c r="I20" i="4"/>
  <c r="I33" i="4"/>
  <c r="I32" i="4"/>
  <c r="I21" i="4"/>
  <c r="I23" i="4"/>
  <c r="I31" i="4"/>
  <c r="I22" i="4"/>
  <c r="I27" i="4"/>
  <c r="I24" i="4"/>
  <c r="I36" i="4"/>
  <c r="I41" i="4"/>
  <c r="I19" i="4"/>
  <c r="I38" i="4"/>
  <c r="I29" i="4"/>
  <c r="I28" i="4"/>
  <c r="I37" i="4"/>
  <c r="I34" i="4"/>
  <c r="I39" i="4"/>
  <c r="G17" i="4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I17" i="4"/>
  <c r="E8" i="5" l="1"/>
  <c r="F8" i="5" s="1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D53" i="5"/>
  <c r="J17" i="4"/>
  <c r="K17" i="4" s="1"/>
  <c r="E8" i="4"/>
  <c r="AC8" i="5" l="1"/>
  <c r="O9" i="5"/>
  <c r="S9" i="5"/>
  <c r="Y9" i="5"/>
  <c r="R9" i="5"/>
  <c r="AB9" i="5"/>
  <c r="U9" i="5"/>
  <c r="P9" i="5"/>
  <c r="Q9" i="5"/>
  <c r="W9" i="5"/>
  <c r="X9" i="5"/>
  <c r="AA9" i="5"/>
  <c r="Z9" i="5"/>
  <c r="V9" i="5"/>
  <c r="T9" i="5"/>
  <c r="L9" i="5"/>
  <c r="F9" i="5"/>
  <c r="N9" i="5"/>
  <c r="E9" i="5"/>
  <c r="H9" i="5"/>
  <c r="M9" i="5"/>
  <c r="J9" i="5"/>
  <c r="G9" i="5"/>
  <c r="K9" i="5"/>
  <c r="I9" i="5"/>
  <c r="D9" i="5"/>
  <c r="D10" i="5" s="1"/>
  <c r="J18" i="4"/>
  <c r="AC9" i="5" l="1"/>
  <c r="E10" i="5"/>
  <c r="K18" i="4"/>
  <c r="J19" i="4"/>
  <c r="F10" i="5" l="1"/>
  <c r="K19" i="4"/>
  <c r="J20" i="4"/>
  <c r="G10" i="5" l="1"/>
  <c r="K20" i="4"/>
  <c r="J21" i="4"/>
  <c r="H10" i="5" l="1"/>
  <c r="K21" i="4"/>
  <c r="J22" i="4"/>
  <c r="I10" i="5" l="1"/>
  <c r="K22" i="4"/>
  <c r="J23" i="4"/>
  <c r="J10" i="5" l="1"/>
  <c r="K23" i="4"/>
  <c r="J24" i="4"/>
  <c r="K10" i="5" l="1"/>
  <c r="K24" i="4"/>
  <c r="J25" i="4"/>
  <c r="L10" i="5" l="1"/>
  <c r="K25" i="4"/>
  <c r="J26" i="4"/>
  <c r="M10" i="5" l="1"/>
  <c r="K26" i="4"/>
  <c r="J27" i="4"/>
  <c r="N10" i="5" l="1"/>
  <c r="K27" i="4"/>
  <c r="J28" i="4"/>
  <c r="K28" i="4" l="1"/>
  <c r="J29" i="4"/>
  <c r="O10" i="5"/>
  <c r="K29" i="4" l="1"/>
  <c r="J30" i="4"/>
  <c r="P10" i="5"/>
  <c r="K30" i="4" l="1"/>
  <c r="J31" i="4"/>
  <c r="Q10" i="5"/>
  <c r="K31" i="4" l="1"/>
  <c r="J32" i="4"/>
  <c r="R10" i="5"/>
  <c r="K32" i="4" l="1"/>
  <c r="J33" i="4"/>
  <c r="S10" i="5"/>
  <c r="K33" i="4" l="1"/>
  <c r="J34" i="4"/>
  <c r="T10" i="5"/>
  <c r="K34" i="4" l="1"/>
  <c r="J35" i="4"/>
  <c r="U10" i="5"/>
  <c r="K35" i="4" l="1"/>
  <c r="J36" i="4"/>
  <c r="V10" i="5"/>
  <c r="K36" i="4" l="1"/>
  <c r="J37" i="4"/>
  <c r="W10" i="5"/>
  <c r="K37" i="4" l="1"/>
  <c r="J38" i="4"/>
  <c r="X10" i="5"/>
  <c r="K38" i="4" l="1"/>
  <c r="J39" i="4"/>
  <c r="Y10" i="5"/>
  <c r="K39" i="4" l="1"/>
  <c r="J40" i="4"/>
  <c r="Z10" i="5"/>
  <c r="K40" i="4" l="1"/>
  <c r="J41" i="4"/>
  <c r="K41" i="4" s="1"/>
  <c r="AA10" i="5"/>
  <c r="E9" i="4" l="1"/>
  <c r="AB10" i="5"/>
  <c r="H11" i="30"/>
  <c r="H21" i="30" s="1"/>
  <c r="F24" i="30" s="1"/>
  <c r="I21" i="30"/>
  <c r="F32" i="5" l="1"/>
  <c r="D45" i="5" s="1"/>
  <c r="D47" i="5" s="1"/>
  <c r="G45" i="5" s="1"/>
  <c r="F25" i="30"/>
  <c r="G32" i="5" s="1"/>
  <c r="G33" i="5" s="1"/>
  <c r="AB11" i="5" l="1"/>
  <c r="G52" i="5"/>
  <c r="G11" i="5"/>
  <c r="Z11" i="5"/>
  <c r="W11" i="5"/>
  <c r="L11" i="5"/>
  <c r="S11" i="5"/>
  <c r="D11" i="5"/>
  <c r="V11" i="5"/>
  <c r="X11" i="5"/>
  <c r="E11" i="5"/>
  <c r="O11" i="5"/>
  <c r="Y11" i="5"/>
  <c r="R11" i="5"/>
  <c r="M11" i="5"/>
  <c r="P11" i="5"/>
  <c r="K11" i="5"/>
  <c r="U11" i="5"/>
  <c r="N11" i="5"/>
  <c r="T11" i="5"/>
  <c r="I11" i="5"/>
  <c r="H11" i="5"/>
  <c r="J11" i="5"/>
  <c r="F11" i="5"/>
  <c r="Q11" i="5"/>
  <c r="AA11" i="5"/>
  <c r="G47" i="5"/>
  <c r="D56" i="5" l="1"/>
  <c r="G53" i="5"/>
  <c r="G57" i="5" l="1"/>
  <c r="C54" i="5"/>
  <c r="G55" i="5"/>
  <c r="G56" i="5" s="1"/>
</calcChain>
</file>

<file path=xl/sharedStrings.xml><?xml version="1.0" encoding="utf-8"?>
<sst xmlns="http://schemas.openxmlformats.org/spreadsheetml/2006/main" count="456" uniqueCount="351">
  <si>
    <t>Investimento</t>
  </si>
  <si>
    <t xml:space="preserve">Payback     </t>
  </si>
  <si>
    <t>Poupança prevista</t>
  </si>
  <si>
    <t>Redução de Energia Primária</t>
  </si>
  <si>
    <t>[tep/ano]</t>
  </si>
  <si>
    <t>[€/ano]</t>
  </si>
  <si>
    <t>[%]</t>
  </si>
  <si>
    <t>[ton/ano]</t>
  </si>
  <si>
    <t>Forma de energia</t>
  </si>
  <si>
    <t>Medida Nº</t>
  </si>
  <si>
    <t>Descrição da medida</t>
  </si>
  <si>
    <t>Antes da implementação</t>
  </si>
  <si>
    <t>Depois da implementação</t>
  </si>
  <si>
    <t>TIR</t>
  </si>
  <si>
    <t>ANÁLISE AUXILIAR</t>
  </si>
  <si>
    <t>Ano i</t>
  </si>
  <si>
    <t xml:space="preserve">Cash Flow </t>
  </si>
  <si>
    <t>CF Acumulado</t>
  </si>
  <si>
    <t>Fator Taxa Atualização</t>
  </si>
  <si>
    <t>Cash Flow (atualizado)</t>
  </si>
  <si>
    <t>CF Acumulado (atualizado)</t>
  </si>
  <si>
    <t>n.a.</t>
  </si>
  <si>
    <t>Anos</t>
  </si>
  <si>
    <t>VAL</t>
  </si>
  <si>
    <t>Nº Carteira Profissional:</t>
  </si>
  <si>
    <t>Tipo de Medidas:</t>
  </si>
  <si>
    <t>Identificação das medidas a implementar:</t>
  </si>
  <si>
    <t>Tipo de intervenção</t>
  </si>
  <si>
    <t>Descrição da solução técnica</t>
  </si>
  <si>
    <t>--</t>
  </si>
  <si>
    <t>SIM</t>
  </si>
  <si>
    <t>NÃO</t>
  </si>
  <si>
    <t>Poupanças a alcançar com as medidas a implementar (até 25 anos)</t>
  </si>
  <si>
    <t>Nº Medida</t>
  </si>
  <si>
    <t>Total (até 25 anos)</t>
  </si>
  <si>
    <t>Totais</t>
  </si>
  <si>
    <t>Acumulado</t>
  </si>
  <si>
    <t>Economia Anual (Poupança Energia - Custos (O&amp;M) - Custos Substituição)</t>
  </si>
  <si>
    <t>Taxa Atualização</t>
  </si>
  <si>
    <t>Total</t>
  </si>
  <si>
    <t xml:space="preserve">Pessoa de Contato: </t>
  </si>
  <si>
    <t xml:space="preserve">Email: </t>
  </si>
  <si>
    <t xml:space="preserve">Telefone: </t>
  </si>
  <si>
    <t>Localidade:</t>
  </si>
  <si>
    <t>Concelho:</t>
  </si>
  <si>
    <t>Gás Natural</t>
  </si>
  <si>
    <t>Fonte de energia</t>
  </si>
  <si>
    <t>[€]</t>
  </si>
  <si>
    <r>
      <t xml:space="preserve">Redução de fatura esperada com aplicação </t>
    </r>
    <r>
      <rPr>
        <b/>
        <sz val="9"/>
        <rFont val="Calibri"/>
        <family val="2"/>
      </rPr>
      <t xml:space="preserve">da medida </t>
    </r>
  </si>
  <si>
    <t>Custo de reinvestimento por substituição 
(se aplicável)</t>
  </si>
  <si>
    <t>[ano]</t>
  </si>
  <si>
    <t>Poupanças anuais 
 (ano 1)</t>
  </si>
  <si>
    <t>[anos]</t>
  </si>
  <si>
    <t>IVA associado (se despesa elegivel)</t>
  </si>
  <si>
    <t>Medidas não identificadas na tabela dos custos - padrão por tecnologia (DGEG)</t>
  </si>
  <si>
    <t>São de preenchimento obrigatório:</t>
  </si>
  <si>
    <r>
      <rPr>
        <b/>
        <sz val="10"/>
        <rFont val="Arial"/>
        <family val="2"/>
      </rPr>
      <t>Antes de submeter a sua candidatura no Balcão Único 2020, verifique se anexou todos os ficheiros solicitados,</t>
    </r>
    <r>
      <rPr>
        <b/>
        <sz val="10"/>
        <color rgb="FF0070C0"/>
        <rFont val="Arial"/>
        <family val="2"/>
      </rPr>
      <t xml:space="preserve"> sem os quais a candidatura não poderá ser aprovada!</t>
    </r>
  </si>
  <si>
    <t xml:space="preserve">Folha 1. </t>
  </si>
  <si>
    <t>Campos para preenchimento e considerações de cada folha:</t>
  </si>
  <si>
    <t>Investimento Total Elegivel 
(I.T.E)</t>
  </si>
  <si>
    <t xml:space="preserve">Vida útil das medidas </t>
  </si>
  <si>
    <t>Poupanças Não Atualizadas para periodo temporal máximo de 25 anos</t>
  </si>
  <si>
    <t>Reembolso mín (70% das poupanças medias anuais para o periodo de analise financeira)</t>
  </si>
  <si>
    <r>
      <t xml:space="preserve">Período da análise financeira do projeto
</t>
    </r>
    <r>
      <rPr>
        <b/>
        <i/>
        <sz val="10"/>
        <color theme="1"/>
        <rFont val="Calibri"/>
        <family val="2"/>
        <scheme val="minor"/>
      </rPr>
      <t>(até ao máx. de 25 anos)</t>
    </r>
  </si>
  <si>
    <r>
      <t xml:space="preserve">Poupança média anual
</t>
    </r>
    <r>
      <rPr>
        <b/>
        <i/>
        <sz val="10"/>
        <color theme="1"/>
        <rFont val="Calibri"/>
        <family val="2"/>
        <scheme val="minor"/>
      </rPr>
      <t>(para o periodo de analise financeira anterior)</t>
    </r>
  </si>
  <si>
    <t>Apuramento da poupança média anual:</t>
  </si>
  <si>
    <t xml:space="preserve">Apuramento do valor de reembolso semestral e respetiva % de poupança equivalente: </t>
  </si>
  <si>
    <t>1º a penultimo reembolso</t>
  </si>
  <si>
    <t>Último reembolso</t>
  </si>
  <si>
    <t>Nº Reembolsos
(base semestral)</t>
  </si>
  <si>
    <t>Plano de Reembolsos</t>
  </si>
  <si>
    <t>Poupanças Totais €/ano</t>
  </si>
  <si>
    <t>Poupanças Totais kWh/ano</t>
  </si>
  <si>
    <t>Subvenção Não Reembolsável</t>
  </si>
  <si>
    <t>N.A.</t>
  </si>
  <si>
    <t>Renováveis</t>
  </si>
  <si>
    <t>GPL</t>
  </si>
  <si>
    <t>Custo Energético</t>
  </si>
  <si>
    <t>Energia Elétrica</t>
  </si>
  <si>
    <t>Gasóleo/Diesel</t>
  </si>
  <si>
    <t>Madeira/Resíduos de Madeira</t>
  </si>
  <si>
    <t>Peletes/Briquetes de Madeira</t>
  </si>
  <si>
    <r>
      <t>[kWh</t>
    </r>
    <r>
      <rPr>
        <b/>
        <vertAlign val="subscript"/>
        <sz val="9"/>
        <color theme="1"/>
        <rFont val="Calibri"/>
        <family val="2"/>
        <scheme val="minor"/>
      </rPr>
      <t>EP</t>
    </r>
    <r>
      <rPr>
        <b/>
        <sz val="9"/>
        <color theme="1"/>
        <rFont val="Calibri"/>
        <family val="2"/>
        <scheme val="minor"/>
      </rPr>
      <t>/ano]</t>
    </r>
  </si>
  <si>
    <r>
      <t>Redução das emissões de CO</t>
    </r>
    <r>
      <rPr>
        <b/>
        <vertAlign val="subscript"/>
        <sz val="9"/>
        <color theme="1"/>
        <rFont val="Calibri"/>
        <family val="2"/>
        <scheme val="minor"/>
      </rPr>
      <t>2</t>
    </r>
  </si>
  <si>
    <t>Custo Manutenção e Operação anual
(se aplicável)</t>
  </si>
  <si>
    <t>Custos Operação e Manutenção [€/ano]</t>
  </si>
  <si>
    <t>Economia Energia [€/ano]</t>
  </si>
  <si>
    <t>[unidades]</t>
  </si>
  <si>
    <t>Número de reinvestimentos previstos (se aplicável)</t>
  </si>
  <si>
    <t>Ano em que ocorre a primeira substituiçao do Equipamento</t>
  </si>
  <si>
    <t>Custos de reinvestimento por substituição [€]</t>
  </si>
  <si>
    <t>Redução Energética [kWh/ano]</t>
  </si>
  <si>
    <t>Redução Energética [kWh/ano] 
(ano 1)</t>
  </si>
  <si>
    <t>Valor estimado de Investimento (sem IVA)</t>
  </si>
  <si>
    <t>Poupanças [€/ano] (100%)</t>
  </si>
  <si>
    <t>Poupanças [kWh/ano] (100%)</t>
  </si>
  <si>
    <t>PCI [MJ/kg]</t>
  </si>
  <si>
    <t>PCI [tep/ton]</t>
  </si>
  <si>
    <t>Fator conversão [tep/kWh]</t>
  </si>
  <si>
    <t>Custo Unitário Energia [€/kWh]:</t>
  </si>
  <si>
    <t>Consumo de Energia Primária</t>
  </si>
  <si>
    <r>
      <t>Fator conversão [kWh</t>
    </r>
    <r>
      <rPr>
        <vertAlign val="subscript"/>
        <sz val="10"/>
        <color theme="1"/>
        <rFont val="Calibri"/>
        <family val="2"/>
        <scheme val="minor"/>
      </rPr>
      <t>EP</t>
    </r>
    <r>
      <rPr>
        <sz val="10"/>
        <color theme="1"/>
        <rFont val="Calibri"/>
        <family val="2"/>
        <scheme val="minor"/>
      </rPr>
      <t>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</si>
  <si>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e/tep]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</si>
  <si>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</si>
  <si>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</si>
  <si>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e/GJ]</t>
    </r>
  </si>
  <si>
    <r>
      <t>Fatores de conversão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 tep (Despacho n.º 17313/2008 e Despacho n.º 15793-D/2013)</t>
    </r>
  </si>
  <si>
    <t>Poupanças acumuladas não atualizadas por medida (preenchimento automático)</t>
  </si>
  <si>
    <t>Periodo temporal necessário para recuperaçao do apoio (preenchimento automático)</t>
  </si>
  <si>
    <t>Quadro Valor de Apoio a atribuir:</t>
  </si>
  <si>
    <t>Valores apurados 
(tendo em conta as despesas elegiveis)</t>
  </si>
  <si>
    <t>Valores ajustados 
(tendo em conta os limites de dotação financeira)</t>
  </si>
  <si>
    <r>
      <t xml:space="preserve">Subvenção Reembolsável 
</t>
    </r>
    <r>
      <rPr>
        <b/>
        <i/>
        <sz val="11"/>
        <color theme="1"/>
        <rFont val="Calibri"/>
        <family val="2"/>
        <scheme val="minor"/>
      </rPr>
      <t>(a devolver)</t>
    </r>
  </si>
  <si>
    <r>
      <t>Subvenção Reembolsável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a devolver)</t>
    </r>
  </si>
  <si>
    <t xml:space="preserve">Quadro Poupança Média Anual e  Valor de Reembolso Semestral </t>
  </si>
  <si>
    <t>Investimento (e valor residual, se aplicável)</t>
  </si>
  <si>
    <t>% da Poupança líquida considerada</t>
  </si>
  <si>
    <t xml:space="preserve">Total </t>
  </si>
  <si>
    <t>Fator conversão [kWh/MJ]</t>
  </si>
  <si>
    <t>1. Identificação do beneficiário da operação</t>
  </si>
  <si>
    <t>Morada/localização:</t>
  </si>
  <si>
    <t>c) Intervenções nos sistemas de iluminação pública, sistemas semafóricos e sistemas de iluminação decorativa, tais como monumentos, jardins, entre outros, com o objetivo de reduzir os consumos de energia, através da instalação de sistemas e tecnologias mais eficientes, assim como pela introdução de sistemas de gestão capazes de potenciar reduções do consumo de energia elétrica associado a estes sistemas.</t>
  </si>
  <si>
    <t>[W]</t>
  </si>
  <si>
    <t>[N.º]</t>
  </si>
  <si>
    <t>Medidas c) IP</t>
  </si>
  <si>
    <t>Taxas máximas de financiamento das despesas elegíveis</t>
  </si>
  <si>
    <t>POR Centro</t>
  </si>
  <si>
    <t>POR Lisboa</t>
  </si>
  <si>
    <t>POR Algarve</t>
  </si>
  <si>
    <t>POR</t>
  </si>
  <si>
    <r>
      <t xml:space="preserve">Nº anos necessarios para reembolso do apoio a atribuir
</t>
    </r>
    <r>
      <rPr>
        <b/>
        <i/>
        <sz val="10"/>
        <color theme="1"/>
        <rFont val="Calibri"/>
        <family val="2"/>
        <scheme val="minor"/>
      </rPr>
      <t>(pelo menos 70% poupança média anual)</t>
    </r>
  </si>
  <si>
    <r>
      <t xml:space="preserve">Valor de reembolso anual ajustado 
</t>
    </r>
    <r>
      <rPr>
        <b/>
        <i/>
        <sz val="10"/>
        <color theme="1"/>
        <rFont val="Calibri"/>
        <family val="2"/>
        <scheme val="minor"/>
      </rPr>
      <t>(para o nº anos calculado anteriormente)</t>
    </r>
  </si>
  <si>
    <t>Eixo Prioritário:</t>
  </si>
  <si>
    <t>I - Apoiar a transição para uma economia com baixas emissões de carbono em todos os setores</t>
  </si>
  <si>
    <t>Prioridade de Investimento:</t>
  </si>
  <si>
    <t>4.3. Apoio à eficiência energética, à gestão inteligente da energia e à utilização das energias renováveis nas infraestruturas públicas, nomeadamente nos edifícios públicos e no setor da habitação.</t>
  </si>
  <si>
    <t>Sim</t>
  </si>
  <si>
    <t>3. Eficiência energética nas infraestruturas públicas</t>
  </si>
  <si>
    <t>Não</t>
  </si>
  <si>
    <t>Secção RE SEUR:</t>
  </si>
  <si>
    <t>Código do Aviso:</t>
  </si>
  <si>
    <t>Designação da Operação:</t>
  </si>
  <si>
    <t>Entidade Beneficiária:</t>
  </si>
  <si>
    <t>Código</t>
  </si>
  <si>
    <t>Unidade</t>
  </si>
  <si>
    <t>Meta</t>
  </si>
  <si>
    <t>Ano Alvo</t>
  </si>
  <si>
    <t>Indicador Aplicavel à Operação?</t>
  </si>
  <si>
    <t>Indicador a Contratualizar?</t>
  </si>
  <si>
    <t>4 - Apoio à eficiência energética, à gestão inteligente da energia e à utilização das energias renováveis nas infraestruturas públicas da Administração Local</t>
  </si>
  <si>
    <t>Redução anual do consumo de energia primária na iluminação pública</t>
  </si>
  <si>
    <t>O.04.03.01.E</t>
  </si>
  <si>
    <t>Tipologia de Intervenção</t>
  </si>
  <si>
    <r>
      <t xml:space="preserve">Limite de dotação financeira
</t>
    </r>
    <r>
      <rPr>
        <sz val="10"/>
        <color theme="1"/>
        <rFont val="Calibri"/>
        <family val="2"/>
        <scheme val="minor"/>
      </rPr>
      <t>(Aplicar a taxa máxima de financiamento por POR, limitado ao valor previsto no Pacto para o Desenvolvimento e Coesão Territorial (PDCT) da respetiva Entidade Intermunicipal)</t>
    </r>
  </si>
  <si>
    <r>
      <t xml:space="preserve">Não altere a estrutura desta ferramenta de cálculo: </t>
    </r>
    <r>
      <rPr>
        <b/>
        <sz val="10"/>
        <color rgb="FF0070C0"/>
        <rFont val="Arial"/>
        <family val="2"/>
      </rPr>
      <t xml:space="preserve">não elimine folhas nem altere a formatação dos campos destinados ao preenchimento do beneficiário.  </t>
    </r>
  </si>
  <si>
    <t>Designação</t>
  </si>
  <si>
    <t>Indicadores</t>
  </si>
  <si>
    <t>Dados da Candidatura</t>
  </si>
  <si>
    <t>Data Conclusão da Operação:</t>
  </si>
  <si>
    <t>Estudo Viabilidade Económica (meramente indicativo)</t>
  </si>
  <si>
    <t>ELEGIBILIDADE DA OPERAÇÃO</t>
  </si>
  <si>
    <t>Código Universal de Candidatura (atribuído pelo Balcão 2020 após submissão)</t>
  </si>
  <si>
    <t>Forma de apoio:</t>
  </si>
  <si>
    <t>Limite de apoio por projeto (se aplicável no Aviso)</t>
  </si>
  <si>
    <t>Taxa máxima do Aviso</t>
  </si>
  <si>
    <t>POR Alentejo</t>
  </si>
  <si>
    <t>POR Norte</t>
  </si>
  <si>
    <t>Outras despesas incluídas no art.º 7º do Regulamento SEUR</t>
  </si>
  <si>
    <t>Investimento Total [Outras Despesas]</t>
  </si>
  <si>
    <t>Despesa Total Elegivel [Outras Despesas]</t>
  </si>
  <si>
    <t>Despesa Nº</t>
  </si>
  <si>
    <t>Descrição detalhada da despesa elegível</t>
  </si>
  <si>
    <t>Identificação das despesas:</t>
  </si>
  <si>
    <t>Descrição geral da despesa</t>
  </si>
  <si>
    <t>Investimento Total [Medidas c)]</t>
  </si>
  <si>
    <t>Despesa Total Elegivel [Medidas c)]</t>
  </si>
  <si>
    <t>Investimento Total [Medida d)]</t>
  </si>
  <si>
    <t>Despesa Total Elegivel [Medida d)]</t>
  </si>
  <si>
    <r>
      <t>kWh</t>
    </r>
    <r>
      <rPr>
        <vertAlign val="subscript"/>
        <sz val="9.5"/>
        <color theme="1"/>
        <rFont val="Calibri"/>
        <family val="2"/>
        <scheme val="minor"/>
      </rPr>
      <t>EP</t>
    </r>
    <r>
      <rPr>
        <sz val="9.5"/>
        <color theme="1"/>
        <rFont val="Calibri"/>
        <family val="2"/>
        <scheme val="minor"/>
      </rPr>
      <t>/ano</t>
    </r>
  </si>
  <si>
    <t>Dados do técnico responsável pela elaboração do Diagnóstico Energético</t>
  </si>
  <si>
    <t>Nome do técnico:</t>
  </si>
  <si>
    <t>Dados da Infraestrutura</t>
  </si>
  <si>
    <t>Cenário Atual (diagnóstico/estudo)</t>
  </si>
  <si>
    <t>Consumo Anual  (tep):</t>
  </si>
  <si>
    <t>Custos Anuais [€/ano]:</t>
  </si>
  <si>
    <r>
      <t>Consumo Anual Total Energia Primária (kWh</t>
    </r>
    <r>
      <rPr>
        <vertAlign val="subscript"/>
        <sz val="11"/>
        <color theme="1"/>
        <rFont val="Calibri"/>
        <family val="2"/>
        <scheme val="minor"/>
      </rPr>
      <t>EP</t>
    </r>
    <r>
      <rPr>
        <sz val="11"/>
        <color theme="1"/>
        <rFont val="Calibri"/>
        <family val="2"/>
        <scheme val="minor"/>
      </rPr>
      <t>):</t>
    </r>
  </si>
  <si>
    <t>Consumo Anual Total Energia Final (kWh):</t>
  </si>
  <si>
    <t>Investimento Total</t>
  </si>
  <si>
    <t>Identificação do beneficiário e operação</t>
  </si>
  <si>
    <t>Cálculo do VAL e TIR do projeto (preenchimento automático), para efeitos meramente informativos</t>
  </si>
  <si>
    <t>Apuramento automático da elegibilidade do projeto (poupanças em energia primária iguais ou superiores a 30%)</t>
  </si>
  <si>
    <r>
      <t xml:space="preserve">Importante: </t>
    </r>
    <r>
      <rPr>
        <sz val="10"/>
        <color theme="1"/>
        <rFont val="Arial"/>
        <family val="2"/>
      </rPr>
      <t>Na presente ferramenta auxiliar de cálculo, apenas estão disponíveis para edição e preenchimento por parte do candidato, e na medida do aplicável, as células destacadas com a seguinte cor (amarelo claro):</t>
    </r>
  </si>
  <si>
    <r>
      <rPr>
        <b/>
        <sz val="10"/>
        <rFont val="Arial"/>
        <family val="2"/>
      </rPr>
      <t xml:space="preserve">Ferramenta auxiliar de cálculo do investimento elegível, poupanças líquidas e período de reembolso da subvenção reembolsável
</t>
    </r>
    <r>
      <rPr>
        <b/>
        <sz val="10"/>
        <color rgb="FF0070C0"/>
        <rFont val="Arial"/>
        <family val="2"/>
      </rPr>
      <t>Simulador de cálculo da subvenção reembolsável para intervenções nos sistemas de iluminação pública, sistemas semafóricos e sistemas de iluminação decorativa (através do preenchimento dos campos a amarelo)</t>
    </r>
    <r>
      <rPr>
        <b/>
        <sz val="10"/>
        <rFont val="Arial"/>
        <family val="2"/>
      </rPr>
      <t xml:space="preserve">
 </t>
    </r>
    <r>
      <rPr>
        <b/>
        <u/>
        <sz val="10"/>
        <rFont val="Arial"/>
        <family val="2"/>
      </rPr>
      <t xml:space="preserve">Ajuda ao Preenchimento
</t>
    </r>
    <r>
      <rPr>
        <sz val="10"/>
        <color rgb="FF7030A0"/>
        <rFont val="Arial"/>
        <family val="2"/>
      </rPr>
      <t>(1ª versão - setembro de 2019)</t>
    </r>
  </si>
  <si>
    <r>
      <rPr>
        <b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- Apoiar a transição para uma economia com baixas emissões de carbono em todos os setores</t>
    </r>
  </si>
  <si>
    <r>
      <rPr>
        <b/>
        <sz val="9"/>
        <color theme="1"/>
        <rFont val="Calibri"/>
        <family val="2"/>
        <scheme val="minor"/>
      </rPr>
      <t xml:space="preserve">4.3. - </t>
    </r>
    <r>
      <rPr>
        <sz val="9"/>
        <color theme="1"/>
        <rFont val="Calibri"/>
        <family val="2"/>
        <scheme val="minor"/>
      </rPr>
      <t>Apoio à eficiência energética, à gestão inteligente da energia e à utilização das energias renováveis nas infraestruturas públicas, nomeadamente nos edifícios públicos e no setor da habitação.</t>
    </r>
  </si>
  <si>
    <t>Tipologia de intervenção:</t>
  </si>
  <si>
    <r>
      <rPr>
        <b/>
        <sz val="9"/>
        <color theme="1"/>
        <rFont val="Calibri"/>
        <family val="2"/>
        <scheme val="minor"/>
      </rPr>
      <t>3.</t>
    </r>
    <r>
      <rPr>
        <sz val="9"/>
        <color theme="1"/>
        <rFont val="Calibri"/>
        <family val="2"/>
        <scheme val="minor"/>
      </rPr>
      <t xml:space="preserve"> Eficiência energética nas infraestruturas públicas</t>
    </r>
  </si>
  <si>
    <r>
      <rPr>
        <b/>
        <sz val="9"/>
        <color theme="1"/>
        <rFont val="Calibri"/>
        <family val="2"/>
        <scheme val="minor"/>
      </rPr>
      <t xml:space="preserve">4 </t>
    </r>
    <r>
      <rPr>
        <sz val="9"/>
        <color theme="1"/>
        <rFont val="Calibri"/>
        <family val="2"/>
        <scheme val="minor"/>
      </rPr>
      <t>- Apoio à eficiência energética, à gestão inteligente da energia e à utilização das energias renováveis nas infraestruturas públicas da Administração Local</t>
    </r>
    <r>
      <rPr>
        <b/>
        <sz val="9"/>
        <color theme="1"/>
        <rFont val="Calibri"/>
        <family val="2"/>
        <scheme val="minor"/>
      </rPr>
      <t/>
    </r>
  </si>
  <si>
    <t>Código da Candidatura:</t>
  </si>
  <si>
    <r>
      <rPr>
        <b/>
        <sz val="11"/>
        <color theme="1"/>
        <rFont val="Calibri"/>
        <family val="2"/>
        <scheme val="minor"/>
      </rPr>
      <t>Mínimo de redução em 30% no consumo de energia primária:</t>
    </r>
    <r>
      <rPr>
        <sz val="11"/>
        <color theme="1"/>
        <rFont val="Calibri"/>
        <family val="2"/>
        <scheme val="minor"/>
      </rPr>
      <t xml:space="preserve"> deverá ser entendido como o aumento mínimo de 30% do desempenho energético do edifício, tal como previsto no âmbito das orientações que acompanham o Regulamento Delegado (UE) n.º 244/2012 da Comissão, de 16 de janeiro de 2012, que complementa a Diretiva 2010/31/UE do Parlamento Europeu e do Conselho relativa ao desempenho energético dos edifícios.</t>
    </r>
  </si>
  <si>
    <t>Diagnóstico Energético da Intervenção nos sistemas de Iluminação Pública, sistemas semafóricos e sistemas de iluminação decorativa (Medidas c))</t>
  </si>
  <si>
    <t>Contacto da entidade beneficiária</t>
  </si>
  <si>
    <t>Observações relativamente aos valores propostos para o respetivo indicador</t>
  </si>
  <si>
    <t>O.04.03.04.C</t>
  </si>
  <si>
    <t>Diminuição anual estimada das emissões de gases com efeito de estufa</t>
  </si>
  <si>
    <t>Toneladas de CO2 equivalente</t>
  </si>
  <si>
    <t>R.04.03.03.P</t>
  </si>
  <si>
    <t>Consumo de energia primária na iluminação pública após intervenção</t>
  </si>
  <si>
    <t>Consumo de energia primária na iluminação pública antes intervenção</t>
  </si>
  <si>
    <t>Número de luminárias a instalar</t>
  </si>
  <si>
    <t>N.º</t>
  </si>
  <si>
    <t>Potência de luminária a instalar</t>
  </si>
  <si>
    <t>Instalação de óticas LED para semáforos</t>
  </si>
  <si>
    <t>Vida útil (anos)</t>
  </si>
  <si>
    <t>Resultados obtidos com a implementação da Operação</t>
  </si>
  <si>
    <r>
      <t xml:space="preserve">Redução do consumo esperado com aplicação </t>
    </r>
    <r>
      <rPr>
        <b/>
        <sz val="9"/>
        <rFont val="Calibri"/>
        <family val="2"/>
      </rPr>
      <t>da medida [kWh]</t>
    </r>
  </si>
  <si>
    <t>Despesa Elegivel 
Corrigida
(com IVA)</t>
  </si>
  <si>
    <r>
      <t xml:space="preserve">Despesa Não Elegível sem IVA </t>
    </r>
    <r>
      <rPr>
        <b/>
        <u/>
        <sz val="8"/>
        <color theme="1"/>
        <rFont val="Calibri"/>
        <family val="2"/>
        <scheme val="minor"/>
      </rPr>
      <t>(campo destinado à Autoridade Gestão do PO)</t>
    </r>
  </si>
  <si>
    <t>Outras informações (preenchimento facultativo)</t>
  </si>
  <si>
    <t>Despesa Total Não Elegivel [Medidas c)]</t>
  </si>
  <si>
    <t>Despesa Total Não Elegivel [Outras Despesas]</t>
  </si>
  <si>
    <t>Resultados - Apoio reembolsável (RESUMO)</t>
  </si>
  <si>
    <t>Custo Total, Despesas Elegiveis, Elegíveis Não Comparticipadas e Não Elegíveis:</t>
  </si>
  <si>
    <t>Investimento total</t>
  </si>
  <si>
    <t>I. Elegível</t>
  </si>
  <si>
    <t>I. Não Elegível</t>
  </si>
  <si>
    <t>O Projeto gera poupanças de energia primária, iguais ou superiores a 30%?</t>
  </si>
  <si>
    <t>O presente instrumento de trabalho é composto por 6 folhas para preenchimento do beneficiário:</t>
  </si>
  <si>
    <t>6. Indicadores</t>
  </si>
  <si>
    <t>5 Apoio reembolsável e Elegibilidade do projeto</t>
  </si>
  <si>
    <t>4. Outras despesas incluídas no art.º 7º do Regulamento SEUR</t>
  </si>
  <si>
    <t>Preenchimento das informações relativas ao diagnóstico energético na Iluminação Pública (IP)</t>
  </si>
  <si>
    <t>2. Medidas c) Iluminação pública (IP)</t>
  </si>
  <si>
    <t>Medidas c) Iluminação Pública (IP)</t>
  </si>
  <si>
    <t>Folha 2.</t>
  </si>
  <si>
    <t>Vida útil de cada medida ((preenchimento automático)</t>
  </si>
  <si>
    <t>Folha 3. e 4.</t>
  </si>
  <si>
    <t>Folha 5 "Apoio reembolsável"</t>
  </si>
  <si>
    <t>Poupanças acumuladas não atualizadas com as medidas c) (preenchimento automático)</t>
  </si>
  <si>
    <t>Folha 6 "Indicadores"</t>
  </si>
  <si>
    <t>- As folhas 1, 2., 5 e 6.</t>
  </si>
  <si>
    <t>- Um projeto que apresente apenas o preenchimento das folhas 3. ou 4. não é elegível!</t>
  </si>
  <si>
    <t>- As folhas 3. e 4.</t>
  </si>
  <si>
    <t>São de preenchimento facultativo,  conforme as despesas que o beneficiário pretende apresentar:</t>
  </si>
  <si>
    <t>Reembolsável</t>
  </si>
  <si>
    <t>Informação complementar da operação:</t>
  </si>
  <si>
    <t>Sistemas de telegestão ou outros equiparáveis</t>
  </si>
  <si>
    <t>Instalação de luminárias LED ou outras equiparáveis (IP ou iluminação decorativa)</t>
  </si>
  <si>
    <t>e adicionalmente por 2 folhas com valores informativos:</t>
  </si>
  <si>
    <t>(Nota: esta tabela resumo considera os valores do IVA, quando preenchidos e aplicáveis)</t>
  </si>
  <si>
    <t>Preenchimento da indicação do PO Regional e limite de apoio do projeto (se aplicável)</t>
  </si>
  <si>
    <t>Preenchimento das Medidas de Eficiência Energética a implementar</t>
  </si>
  <si>
    <t>Informação das poupanças anuais (kWh e €) geradas por medida (preenchimento automático)</t>
  </si>
  <si>
    <t>Preenchimento dos valores de Investimento de cada medida</t>
  </si>
  <si>
    <t>Preenchimento dos valores de investimento em auditorias, estudos, diagnósticos e análises energéticas e outras despesas não tipificadas na Folha 2</t>
  </si>
  <si>
    <t>Indicadores de resultado e de realização da operação e preenchimento de informações adicionais</t>
  </si>
  <si>
    <t>Apresentação de tabela resumo das Despesas Totais, Elegíveis e Não Elegíveis (preenchimento automático)</t>
  </si>
  <si>
    <t>Para efeitos de conversão de unidades de energia para "tep" e "kgCO2", a utilizar na Folha 2., são considerados os fatores de conversão identificados nesta folha (preenchimento automático)</t>
  </si>
  <si>
    <t>7. Mérito da Operação</t>
  </si>
  <si>
    <t>8. VAL Global até 25 anos (meramente informativo)</t>
  </si>
  <si>
    <t>9. Fatores de Conversão</t>
  </si>
  <si>
    <t>Folha 8. "VAL Global até 25 anos"</t>
  </si>
  <si>
    <t>Folha 9. "Fatores de Conversão"</t>
  </si>
  <si>
    <t>Folha 7 "Mérito da Operação"</t>
  </si>
  <si>
    <t>Classificação Final ou Mérito da Operação (preenchimento automático).</t>
  </si>
  <si>
    <t>(atribuído pelo Balcão 2020 após submissão)</t>
  </si>
  <si>
    <t>Consumo anual [kWh]</t>
  </si>
  <si>
    <t>Reinvestimento (se aplicável)</t>
  </si>
  <si>
    <t>Para efeitos de contabilização das poupanças liquidas, é tido em conta o valor das poupanças anuais no ano 1 de cada medida, e automaticamente extendidas até à conclusão da sua vida útil. 
Caso tenha sido considerado o reinvestimento numa determinada medida (tendo-se preenchido para esse efeito os campos relativos ao valor de reinvestimento e o nº de reinvestimentos previstos), o impacto dessas poupanças será considerado automaticamente até ao fim de um novo periodo de vida útil.
A determinação das reduções de consumo energético é feita automaticamente.</t>
  </si>
  <si>
    <t xml:space="preserve"> </t>
  </si>
  <si>
    <r>
      <t xml:space="preserve">Outras Despesas necessárias </t>
    </r>
    <r>
      <rPr>
        <u/>
        <sz val="11"/>
        <rFont val="Calibri"/>
        <family val="2"/>
        <scheme val="minor"/>
      </rPr>
      <t>somente à execução das medidas previstas na operação</t>
    </r>
    <r>
      <rPr>
        <sz val="11"/>
        <rFont val="Calibri"/>
        <family val="2"/>
        <scheme val="minor"/>
      </rPr>
      <t>, elegíveis no âmbito do art.º 7.º do RE SEUR.</t>
    </r>
  </si>
  <si>
    <t>d) Auditorias, diagnósticos e outros trabalhos necessários à realização de investimentos, bem como a avaliação «ex-post» independente que permita a avaliação e o acompanhamento do desempenho e da eficiência energética do investimento.</t>
  </si>
  <si>
    <t>Taxas máximas Medidas d)</t>
  </si>
  <si>
    <t>3. Medidas d) Auditorias, diagnósticos e avaliação ex-post</t>
  </si>
  <si>
    <t>Medidas d) Auditorias, diagnósticos e avaliação ex-post</t>
  </si>
  <si>
    <t>Medida identificada no cenário final 
(diagnóstico/estudo)</t>
  </si>
  <si>
    <t>Potência de luminária a substituir</t>
  </si>
  <si>
    <t>Vida Útil Equipamento</t>
  </si>
  <si>
    <t>Número de luminárias a substituir</t>
  </si>
  <si>
    <t>(Nota: O valor preenchido nesta célula terá de ser igual ao valor obtido na célula K25 no separador "2. Medidas c))</t>
  </si>
  <si>
    <t>Critérios de Seleção</t>
  </si>
  <si>
    <t>A operação não prevê a instalação de sistemas de produção de energia</t>
  </si>
  <si>
    <t>A operação prevê a instalação de sistemas de produção de energia</t>
  </si>
  <si>
    <t>C2</t>
  </si>
  <si>
    <r>
      <rPr>
        <b/>
        <sz val="9"/>
        <rFont val="Calibri Light"/>
        <family val="2"/>
      </rPr>
      <t>Instalação de sistemas de produção de energia para autoconsumo a partir de fontes renováveis</t>
    </r>
    <r>
      <rPr>
        <sz val="9"/>
        <rFont val="Calibri Light"/>
        <family val="2"/>
      </rPr>
      <t xml:space="preserve"> 
(para além de ações de eficiência energética, a operação prevê ainda a instalação de sistemas de produção de energia para autoconsumo a partir de fontes renováveis)</t>
    </r>
  </si>
  <si>
    <t>A operação demonstra uma muito reduzida racionalidade económica, ou seja o rácio igual ou superior a 12.000 €/tep evitado</t>
  </si>
  <si>
    <t>A operação demonstra uma média racionalidade económica, ou seja o rácio superior a 6.000 €/tep e inferior a 12.000 €/tep evitado</t>
  </si>
  <si>
    <t>A operação demonstra uma muito elevada racionalidade económica, ou seja o rácio igual ou inferior a 6.000 €/tep evitado</t>
  </si>
  <si>
    <t>C1</t>
  </si>
  <si>
    <r>
      <t xml:space="preserve">Racionalidade económica das ações previstas na operação 
</t>
    </r>
    <r>
      <rPr>
        <sz val="9"/>
        <rFont val="Calibri Light"/>
        <family val="2"/>
      </rPr>
      <t>avaliada através do rácio entre o investimento (€) e a redução de consumo (tep) decorrente da implementação da operação</t>
    </r>
  </si>
  <si>
    <t>Quando  as ações previstas na operação têm um fraco potencial de redução de emissões de CO2 (reduções menores que 3%)</t>
  </si>
  <si>
    <t>Quando  as ações previstas na operação têm um médio potencial de redução de emissões de CO2 (reduções entre 3% e 10%)</t>
  </si>
  <si>
    <t>Quando  as ações previstas na operação têm um elevado potencial de redução de emissões de CO2 (reduções maiores que 10%)</t>
  </si>
  <si>
    <t>B1</t>
  </si>
  <si>
    <r>
      <t xml:space="preserve">Contributo para a redução das emissões de CO2 
</t>
    </r>
    <r>
      <rPr>
        <sz val="9"/>
        <rFont val="Calibri Light"/>
        <family val="2"/>
      </rPr>
      <t>(calculado base ton CO2)</t>
    </r>
    <r>
      <rPr>
        <b/>
        <sz val="9"/>
        <rFont val="Calibri Light"/>
        <family val="2"/>
      </rPr>
      <t xml:space="preserve"> </t>
    </r>
    <r>
      <rPr>
        <sz val="9"/>
        <rFont val="Calibri Light"/>
        <family val="2"/>
      </rPr>
      <t>avaliado através da redução de emissões anuais de CO2 associadas ao resultado da intervenção</t>
    </r>
  </si>
  <si>
    <t>As ações previstas na operação têm um médio potencial de redução de energia primária (reduções entre 30% e 40%)</t>
  </si>
  <si>
    <t>As ações previstas na operação têm um elevado potencial de redução de energia primária (reduções maiores ou iguais que 40%)</t>
  </si>
  <si>
    <t>A1</t>
  </si>
  <si>
    <t>Referencial de pontuação</t>
  </si>
  <si>
    <r>
      <t xml:space="preserve">Contributo para os objetivos específicos e para as metas fixadas nos indicadores de resultado definidos para a PI no PO
</t>
    </r>
    <r>
      <rPr>
        <sz val="9"/>
        <rFont val="Calibri Light"/>
        <family val="2"/>
      </rPr>
      <t>avaliado através da redução do consumo de energia primária na operação objeto da intervenção (%)</t>
    </r>
  </si>
  <si>
    <t>Mp</t>
  </si>
  <si>
    <t>Mérito do projeto</t>
  </si>
  <si>
    <t>Redução no consumo de energia primária</t>
  </si>
  <si>
    <t>Critérios de seleção / Valorização</t>
  </si>
  <si>
    <r>
      <t>MP = 0,30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A1 + 0,30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B1 + 0,35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C1 + 0,05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C2</t>
    </r>
  </si>
  <si>
    <t>TOTAL Investimento Elegível</t>
  </si>
  <si>
    <t>A operação prevê a instalação de sistemas de produção de energia 
a partir de fontes renováveis?</t>
  </si>
  <si>
    <t>Outras Despesas Elegiveis 
(caso aplicável)</t>
  </si>
  <si>
    <t>F</t>
  </si>
  <si>
    <t>€/tep</t>
  </si>
  <si>
    <t>Poupança
[tep/ano]</t>
  </si>
  <si>
    <t>Investimento
[€]</t>
  </si>
  <si>
    <t>Medidas d)</t>
  </si>
  <si>
    <t>E</t>
  </si>
  <si>
    <t>D</t>
  </si>
  <si>
    <t>C</t>
  </si>
  <si>
    <t>% Redução</t>
  </si>
  <si>
    <t>Redução de emissões de CO2
[ton/ano]</t>
  </si>
  <si>
    <t>Emissões de CO2
[ton/ano]</t>
  </si>
  <si>
    <t>B-</t>
  </si>
  <si>
    <t>B</t>
  </si>
  <si>
    <t>A</t>
  </si>
  <si>
    <t>Redução de Energia primária
[tep/ano]</t>
  </si>
  <si>
    <t>Consumo de Energia Primária
[tep/ano]</t>
  </si>
  <si>
    <t>A+</t>
  </si>
  <si>
    <t>Apoio</t>
  </si>
  <si>
    <t xml:space="preserve">  </t>
  </si>
  <si>
    <t>MO = 0,30 A1+0,30 B1+ 0,35 C1+0,05 C2</t>
  </si>
  <si>
    <r>
      <t xml:space="preserve">Instalação de sistemas de produção de energia para autoconsumo a partir de fontes renováveis </t>
    </r>
    <r>
      <rPr>
        <sz val="9"/>
        <color rgb="FF000000"/>
        <rFont val="Calibri"/>
        <family val="2"/>
        <scheme val="minor"/>
      </rPr>
      <t>(para além de ações de eficiência energética, a operação prevê ainda a instalação de sistemas de produção de energia para autoconsumo a partir de fontes renováveis)</t>
    </r>
  </si>
  <si>
    <r>
      <t xml:space="preserve">Racionalidade económica das ações previstas na operação </t>
    </r>
    <r>
      <rPr>
        <sz val="9"/>
        <color theme="1"/>
        <rFont val="Calibri"/>
        <family val="2"/>
        <scheme val="minor"/>
      </rPr>
      <t>avaliada através do rácio entre o investimento (€) e a redução de consumo (tep) decorrente da implementação da operação</t>
    </r>
  </si>
  <si>
    <t>C - Eficiência e Sustentabilidade</t>
  </si>
  <si>
    <t>As ações previstas na operação têm um fraco potencial de redução emissões de CO2  (reduções menores que 3%)</t>
  </si>
  <si>
    <t>As ações previstas na operação têm um médio potencial de redução emissões de CO2  (reduções entre 3% e 10%)</t>
  </si>
  <si>
    <t>As ações previstas na operação têm um elevado potencial de redução de emissões de CO2  (reduções maiores que 10%)</t>
  </si>
  <si>
    <r>
      <t xml:space="preserve">Contributo das ações previstas na operação para a redução de emissões de CO2 </t>
    </r>
    <r>
      <rPr>
        <sz val="9"/>
        <color theme="1"/>
        <rFont val="Calibri"/>
        <family val="2"/>
        <scheme val="minor"/>
      </rPr>
      <t>(calculado base ton CO2) avaliado através da redução de emissões anuais de CO2 associadas ao resultado da intervenção</t>
    </r>
  </si>
  <si>
    <t>B - Adequação à Estratégia</t>
  </si>
  <si>
    <r>
      <t xml:space="preserve">Contributo das ações previstas na operação para os objetivos específicos e para as metas fixadas nos indicadores de resultado definidos na respetiva Prioridade de Investimento do PO Regional </t>
    </r>
    <r>
      <rPr>
        <sz val="9"/>
        <color theme="1"/>
        <rFont val="Calibri"/>
        <family val="2"/>
        <scheme val="minor"/>
      </rPr>
      <t>avaliado através da redução do consumo de energia primária na operação objeto da intervenção (%)</t>
    </r>
  </si>
  <si>
    <t>A - Eficácia</t>
  </si>
  <si>
    <t>Referencial de Pontuação</t>
  </si>
  <si>
    <t>Cte. Pond.  Critério</t>
  </si>
  <si>
    <t>Máx</t>
  </si>
  <si>
    <t>Min</t>
  </si>
  <si>
    <t>Categoria / Critérios de Seleção</t>
  </si>
  <si>
    <t>Referencial de Avaliação do Mérito das Operações</t>
  </si>
  <si>
    <t>Critérios de seleção e metodologia de avaliação</t>
  </si>
  <si>
    <t>ANEXO IV - Eficiência energética nos sistemas de iluminação pública</t>
  </si>
  <si>
    <t>Regulamento Específico Sustentabilidade e eficiência no uso de recursos</t>
  </si>
  <si>
    <t xml:space="preserve">PI 4.3 (4c) - Apoio à eficiência energética, à gestão inteligente da energia e à utilização das energias renováveis nas infraestruturas públicas, nomeadamente nos edifícios públicos e no setor da habitação, concretamente Tipologia c) </t>
  </si>
  <si>
    <t>Eixo Prioritário 3 – Apoiar a transição para uma economia com baixas emissões de carbono em todos os sectores</t>
  </si>
  <si>
    <t>Medidas c)</t>
  </si>
  <si>
    <t>Total Despesas Elegiveis
[medidas c),  e d)]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</si>
</sst>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&quot;€&quot;_-;\-* #,##0\ &quot;€&quot;_-;_-* &quot;-&quot;??\ &quot;€&quot;_-;_-@_-"/>
    <numFmt numFmtId="166" formatCode="_-[$€-2]\ * #,##0.00_-;\-[$€-2]\ * #,##0.00_-;_-[$€-2]\ * &quot;-&quot;??_-;_-@_-"/>
    <numFmt numFmtId="167" formatCode="#,##0.00\ &quot;€&quot;"/>
    <numFmt numFmtId="168" formatCode="0.0"/>
    <numFmt numFmtId="169" formatCode="0.000"/>
    <numFmt numFmtId="170" formatCode="0.0000"/>
    <numFmt numFmtId="171" formatCode="0.000000"/>
    <numFmt numFmtId="172" formatCode="#,##0\ &quot;€&quot;"/>
    <numFmt numFmtId="173" formatCode="#,##0.0"/>
    <numFmt numFmtId="174" formatCode="#,##0.0\ &quot;€&quot;"/>
  </numFmts>
  <fonts count="8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Calibri"/>
      <family val="2"/>
      <scheme val="minor"/>
    </font>
    <font>
      <b/>
      <sz val="9"/>
      <color rgb="FF000000"/>
      <name val="Calibri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vertAlign val="subscript"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sz val="9.5"/>
      <name val="Calibri"/>
      <family val="2"/>
      <scheme val="minor"/>
    </font>
    <font>
      <i/>
      <sz val="9.5"/>
      <name val="Calibri"/>
      <family val="2"/>
      <scheme val="minor"/>
    </font>
    <font>
      <b/>
      <sz val="9.5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8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u/>
      <sz val="10"/>
      <name val="Arial"/>
      <family val="2"/>
    </font>
    <font>
      <vertAlign val="subscript"/>
      <sz val="9.5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9.5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8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63"/>
      <name val="Calibri Light"/>
      <family val="2"/>
    </font>
    <font>
      <sz val="9"/>
      <color indexed="63"/>
      <name val="Calibri Light"/>
      <family val="2"/>
    </font>
    <font>
      <b/>
      <i/>
      <sz val="14"/>
      <color indexed="63"/>
      <name val="Calibri Light"/>
      <family val="2"/>
    </font>
    <font>
      <b/>
      <sz val="9"/>
      <name val="Calibri Light"/>
      <family val="2"/>
    </font>
    <font>
      <sz val="9"/>
      <name val="Calibri Light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Gill Sans MT"/>
      <family val="2"/>
    </font>
    <font>
      <b/>
      <sz val="10"/>
      <name val="Gill Sans MT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1B13E"/>
        <bgColor indexed="64"/>
      </patternFill>
    </fill>
    <fill>
      <patternFill patternType="solid">
        <fgColor rgb="FF3E95D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auto="1"/>
      </top>
      <bottom/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/>
    <xf numFmtId="0" fontId="73" fillId="0" borderId="0"/>
    <xf numFmtId="0" fontId="74" fillId="0" borderId="0"/>
  </cellStyleXfs>
  <cellXfs count="992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Border="1" applyProtection="1"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8" fontId="0" fillId="0" borderId="3" xfId="0" applyNumberFormat="1" applyBorder="1" applyAlignment="1" applyProtection="1">
      <alignment horizontal="center" vertical="center"/>
      <protection hidden="1"/>
    </xf>
    <xf numFmtId="169" fontId="0" fillId="0" borderId="3" xfId="0" applyNumberFormat="1" applyBorder="1" applyAlignment="1" applyProtection="1">
      <alignment horizontal="center" vertical="center"/>
      <protection hidden="1"/>
    </xf>
    <xf numFmtId="170" fontId="0" fillId="0" borderId="3" xfId="0" applyNumberForma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5" fillId="0" borderId="0" xfId="0" applyFont="1" applyFill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56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6" fillId="15" borderId="7" xfId="0" applyFont="1" applyFill="1" applyBorder="1" applyAlignment="1" applyProtection="1">
      <alignment horizontal="center" vertical="center" wrapText="1"/>
      <protection hidden="1"/>
    </xf>
    <xf numFmtId="0" fontId="6" fillId="15" borderId="11" xfId="0" applyFont="1" applyFill="1" applyBorder="1" applyAlignment="1" applyProtection="1">
      <alignment horizontal="center" vertical="center" wrapText="1"/>
      <protection hidden="1"/>
    </xf>
    <xf numFmtId="0" fontId="6" fillId="2" borderId="32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vertical="center" wrapText="1"/>
      <protection hidden="1"/>
    </xf>
    <xf numFmtId="0" fontId="6" fillId="5" borderId="41" xfId="0" applyFont="1" applyFill="1" applyBorder="1" applyAlignment="1" applyProtection="1">
      <alignment vertical="center" wrapText="1"/>
      <protection hidden="1"/>
    </xf>
    <xf numFmtId="0" fontId="6" fillId="5" borderId="28" xfId="0" applyFont="1" applyFill="1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15" borderId="18" xfId="0" applyFill="1" applyBorder="1" applyAlignment="1" applyProtection="1">
      <alignment horizontal="center" vertical="center"/>
      <protection hidden="1"/>
    </xf>
    <xf numFmtId="4" fontId="0" fillId="15" borderId="3" xfId="0" applyNumberForma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2" borderId="5" xfId="0" applyFill="1" applyBorder="1" applyAlignment="1" applyProtection="1">
      <protection hidden="1"/>
    </xf>
    <xf numFmtId="0" fontId="5" fillId="2" borderId="6" xfId="0" applyFont="1" applyFill="1" applyBorder="1" applyAlignment="1" applyProtection="1"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protection hidden="1"/>
    </xf>
    <xf numFmtId="167" fontId="0" fillId="3" borderId="26" xfId="0" applyNumberFormat="1" applyFill="1" applyBorder="1" applyAlignment="1" applyProtection="1">
      <protection hidden="1"/>
    </xf>
    <xf numFmtId="167" fontId="7" fillId="2" borderId="26" xfId="0" applyNumberFormat="1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44" fontId="5" fillId="2" borderId="0" xfId="0" applyNumberFormat="1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right" wrapText="1"/>
      <protection hidden="1"/>
    </xf>
    <xf numFmtId="167" fontId="0" fillId="2" borderId="26" xfId="0" applyNumberFormat="1" applyFill="1" applyBorder="1" applyAlignment="1" applyProtection="1">
      <protection hidden="1"/>
    </xf>
    <xf numFmtId="4" fontId="0" fillId="2" borderId="26" xfId="0" applyNumberForma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8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6" fillId="15" borderId="40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6" fillId="5" borderId="35" xfId="0" applyFont="1" applyFill="1" applyBorder="1" applyAlignment="1" applyProtection="1">
      <alignment vertical="center" wrapText="1"/>
      <protection hidden="1"/>
    </xf>
    <xf numFmtId="0" fontId="6" fillId="5" borderId="36" xfId="0" applyFont="1" applyFill="1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1" fillId="0" borderId="26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protection hidden="1"/>
    </xf>
    <xf numFmtId="0" fontId="10" fillId="0" borderId="5" xfId="0" applyFont="1" applyBorder="1" applyAlignment="1" applyProtection="1">
      <protection hidden="1"/>
    </xf>
    <xf numFmtId="0" fontId="5" fillId="2" borderId="6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4" borderId="7" xfId="0" applyFill="1" applyBorder="1" applyAlignment="1" applyProtection="1">
      <alignment horizontal="center" wrapText="1"/>
      <protection hidden="1"/>
    </xf>
    <xf numFmtId="0" fontId="0" fillId="4" borderId="11" xfId="0" applyFill="1" applyBorder="1" applyAlignment="1" applyProtection="1">
      <alignment horizontal="center" wrapText="1"/>
      <protection hidden="1"/>
    </xf>
    <xf numFmtId="1" fontId="0" fillId="4" borderId="11" xfId="0" applyNumberFormat="1" applyFill="1" applyBorder="1" applyAlignment="1" applyProtection="1">
      <alignment horizontal="center" wrapText="1"/>
      <protection hidden="1"/>
    </xf>
    <xf numFmtId="0" fontId="0" fillId="4" borderId="12" xfId="0" applyFill="1" applyBorder="1" applyAlignment="1" applyProtection="1">
      <alignment horizontal="center" wrapText="1"/>
      <protection hidden="1"/>
    </xf>
    <xf numFmtId="0" fontId="0" fillId="4" borderId="32" xfId="0" applyFill="1" applyBorder="1" applyAlignment="1" applyProtection="1">
      <alignment horizontal="center" wrapText="1"/>
      <protection hidden="1"/>
    </xf>
    <xf numFmtId="0" fontId="0" fillId="2" borderId="31" xfId="0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5" fillId="5" borderId="0" xfId="0" applyFont="1" applyFill="1" applyBorder="1" applyAlignment="1" applyProtection="1">
      <alignment horizontal="left" vertical="center" wrapText="1"/>
      <protection hidden="1"/>
    </xf>
    <xf numFmtId="1" fontId="31" fillId="0" borderId="0" xfId="0" applyNumberFormat="1" applyFont="1" applyAlignment="1" applyProtection="1">
      <alignment horizontal="center" vertical="center"/>
      <protection hidden="1"/>
    </xf>
    <xf numFmtId="167" fontId="7" fillId="2" borderId="6" xfId="0" applyNumberFormat="1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167" fontId="29" fillId="12" borderId="2" xfId="0" applyNumberFormat="1" applyFont="1" applyFill="1" applyBorder="1" applyAlignment="1" applyProtection="1">
      <protection hidden="1"/>
    </xf>
    <xf numFmtId="0" fontId="9" fillId="0" borderId="1" xfId="0" applyFont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left" wrapText="1"/>
      <protection hidden="1"/>
    </xf>
    <xf numFmtId="167" fontId="30" fillId="12" borderId="2" xfId="0" applyNumberFormat="1" applyFont="1" applyFill="1" applyBorder="1" applyAlignment="1" applyProtection="1">
      <protection hidden="1"/>
    </xf>
    <xf numFmtId="0" fontId="9" fillId="0" borderId="0" xfId="0" applyFont="1" applyAlignment="1" applyProtection="1"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167" fontId="29" fillId="12" borderId="2" xfId="0" applyNumberFormat="1" applyFont="1" applyFill="1" applyBorder="1" applyAlignment="1" applyProtection="1">
      <alignment horizontal="center" vertical="center"/>
      <protection hidden="1"/>
    </xf>
    <xf numFmtId="167" fontId="5" fillId="2" borderId="26" xfId="0" applyNumberFormat="1" applyFont="1" applyFill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167" fontId="30" fillId="12" borderId="2" xfId="0" applyNumberFormat="1" applyFont="1" applyFill="1" applyBorder="1" applyAlignment="1" applyProtection="1">
      <alignment horizontal="center" vertical="center"/>
      <protection hidden="1"/>
    </xf>
    <xf numFmtId="167" fontId="10" fillId="2" borderId="26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44" fontId="5" fillId="2" borderId="15" xfId="0" applyNumberFormat="1" applyFont="1" applyFill="1" applyBorder="1" applyAlignment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0" fontId="5" fillId="7" borderId="26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167" fontId="0" fillId="0" borderId="0" xfId="0" applyNumberFormat="1" applyFill="1" applyBorder="1" applyAlignment="1" applyProtection="1">
      <protection hidden="1"/>
    </xf>
    <xf numFmtId="1" fontId="0" fillId="0" borderId="0" xfId="0" applyNumberForma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44" fontId="0" fillId="0" borderId="0" xfId="0" applyNumberFormat="1" applyFill="1" applyBorder="1" applyAlignment="1" applyProtection="1">
      <protection hidden="1"/>
    </xf>
    <xf numFmtId="44" fontId="0" fillId="0" borderId="0" xfId="0" applyNumberFormat="1" applyBorder="1" applyAlignment="1" applyProtection="1"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4" xfId="0" applyFont="1" applyBorder="1" applyAlignment="1" applyProtection="1">
      <alignment vertical="center"/>
      <protection hidden="1"/>
    </xf>
    <xf numFmtId="0" fontId="14" fillId="0" borderId="5" xfId="0" applyFont="1" applyBorder="1" applyAlignment="1" applyProtection="1">
      <alignment vertical="center"/>
      <protection hidden="1"/>
    </xf>
    <xf numFmtId="0" fontId="14" fillId="0" borderId="21" xfId="0" applyFont="1" applyBorder="1" applyAlignment="1" applyProtection="1">
      <alignment vertical="center"/>
      <protection hidden="1"/>
    </xf>
    <xf numFmtId="0" fontId="14" fillId="0" borderId="1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15" xfId="0" applyFont="1" applyBorder="1" applyAlignment="1" applyProtection="1">
      <alignment vertical="center"/>
      <protection hidden="1"/>
    </xf>
    <xf numFmtId="44" fontId="14" fillId="0" borderId="0" xfId="0" applyNumberFormat="1" applyFont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protection hidden="1"/>
    </xf>
    <xf numFmtId="10" fontId="14" fillId="0" borderId="0" xfId="0" applyNumberFormat="1" applyFont="1" applyFill="1" applyBorder="1" applyAlignment="1" applyProtection="1">
      <alignment horizontal="center" vertical="center"/>
      <protection hidden="1"/>
    </xf>
    <xf numFmtId="9" fontId="14" fillId="0" borderId="0" xfId="0" applyNumberFormat="1" applyFont="1" applyBorder="1" applyAlignment="1" applyProtection="1">
      <alignment vertical="center"/>
      <protection hidden="1"/>
    </xf>
    <xf numFmtId="164" fontId="14" fillId="0" borderId="0" xfId="2" applyNumberFormat="1" applyFont="1" applyFill="1" applyBorder="1" applyAlignment="1" applyProtection="1">
      <alignment vertical="center"/>
      <protection hidden="1"/>
    </xf>
    <xf numFmtId="9" fontId="14" fillId="0" borderId="0" xfId="0" applyNumberFormat="1" applyFont="1" applyFill="1" applyBorder="1" applyAlignment="1" applyProtection="1">
      <alignment horizontal="center" vertical="center"/>
      <protection hidden="1"/>
    </xf>
    <xf numFmtId="164" fontId="14" fillId="0" borderId="0" xfId="2" applyNumberFormat="1" applyFont="1" applyFill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vertical="center" wrapText="1"/>
      <protection hidden="1"/>
    </xf>
    <xf numFmtId="0" fontId="15" fillId="11" borderId="4" xfId="0" applyFont="1" applyFill="1" applyBorder="1" applyAlignment="1" applyProtection="1">
      <alignment horizontal="center" vertical="center" wrapText="1"/>
      <protection hidden="1"/>
    </xf>
    <xf numFmtId="0" fontId="15" fillId="11" borderId="16" xfId="0" applyFont="1" applyFill="1" applyBorder="1" applyAlignment="1" applyProtection="1">
      <alignment horizontal="center" vertical="center" wrapText="1"/>
      <protection hidden="1"/>
    </xf>
    <xf numFmtId="0" fontId="15" fillId="11" borderId="26" xfId="0" applyFont="1" applyFill="1" applyBorder="1" applyAlignment="1" applyProtection="1">
      <alignment horizontal="center" vertical="center" wrapText="1"/>
      <protection hidden="1"/>
    </xf>
    <xf numFmtId="0" fontId="15" fillId="11" borderId="6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Border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5" fillId="11" borderId="31" xfId="0" applyFont="1" applyFill="1" applyBorder="1" applyAlignment="1" applyProtection="1">
      <alignment horizontal="center" vertical="center"/>
      <protection hidden="1"/>
    </xf>
    <xf numFmtId="167" fontId="14" fillId="2" borderId="23" xfId="1" applyNumberFormat="1" applyFont="1" applyFill="1" applyBorder="1" applyAlignment="1" applyProtection="1">
      <alignment horizontal="center" vertical="center"/>
      <protection hidden="1"/>
    </xf>
    <xf numFmtId="0" fontId="15" fillId="11" borderId="33" xfId="0" applyFont="1" applyFill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vertical="center"/>
      <protection hidden="1"/>
    </xf>
    <xf numFmtId="0" fontId="14" fillId="0" borderId="8" xfId="0" applyFont="1" applyBorder="1" applyAlignment="1" applyProtection="1">
      <alignment vertical="center"/>
      <protection hidden="1"/>
    </xf>
    <xf numFmtId="0" fontId="14" fillId="0" borderId="9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12" borderId="5" xfId="0" applyFont="1" applyFill="1" applyBorder="1" applyAlignment="1" applyProtection="1">
      <alignment vertical="center"/>
      <protection hidden="1"/>
    </xf>
    <xf numFmtId="0" fontId="13" fillId="12" borderId="21" xfId="0" applyFont="1" applyFill="1" applyBorder="1" applyAlignment="1" applyProtection="1">
      <alignment vertical="center"/>
      <protection hidden="1"/>
    </xf>
    <xf numFmtId="0" fontId="13" fillId="12" borderId="0" xfId="0" applyFont="1" applyFill="1" applyBorder="1" applyAlignment="1" applyProtection="1">
      <alignment vertical="center"/>
      <protection hidden="1"/>
    </xf>
    <xf numFmtId="0" fontId="13" fillId="12" borderId="15" xfId="0" applyFont="1" applyFill="1" applyBorder="1" applyAlignment="1" applyProtection="1">
      <alignment vertical="center"/>
      <protection hidden="1"/>
    </xf>
    <xf numFmtId="0" fontId="19" fillId="12" borderId="1" xfId="0" applyFont="1" applyFill="1" applyBorder="1" applyAlignment="1" applyProtection="1">
      <alignment horizontal="left" vertical="center"/>
      <protection hidden="1"/>
    </xf>
    <xf numFmtId="0" fontId="18" fillId="12" borderId="0" xfId="0" applyFont="1" applyFill="1" applyBorder="1" applyAlignment="1" applyProtection="1">
      <alignment vertical="center"/>
      <protection hidden="1"/>
    </xf>
    <xf numFmtId="0" fontId="20" fillId="12" borderId="41" xfId="0" applyFont="1" applyFill="1" applyBorder="1" applyAlignment="1" applyProtection="1">
      <alignment vertical="center"/>
      <protection hidden="1"/>
    </xf>
    <xf numFmtId="0" fontId="17" fillId="12" borderId="19" xfId="0" applyFont="1" applyFill="1" applyBorder="1" applyAlignment="1" applyProtection="1">
      <alignment vertical="center"/>
      <protection hidden="1"/>
    </xf>
    <xf numFmtId="0" fontId="17" fillId="12" borderId="28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0" fillId="12" borderId="1" xfId="0" applyFont="1" applyFill="1" applyBorder="1" applyAlignment="1" applyProtection="1">
      <alignment vertical="center"/>
      <protection hidden="1"/>
    </xf>
    <xf numFmtId="0" fontId="17" fillId="12" borderId="0" xfId="0" applyFont="1" applyFill="1" applyBorder="1" applyAlignment="1" applyProtection="1">
      <alignment vertical="center"/>
      <protection hidden="1"/>
    </xf>
    <xf numFmtId="0" fontId="17" fillId="12" borderId="15" xfId="0" applyFont="1" applyFill="1" applyBorder="1" applyAlignment="1" applyProtection="1">
      <alignment vertical="center"/>
      <protection hidden="1"/>
    </xf>
    <xf numFmtId="0" fontId="23" fillId="12" borderId="1" xfId="0" applyFont="1" applyFill="1" applyBorder="1" applyAlignment="1" applyProtection="1">
      <alignment horizontal="left" vertical="center" wrapText="1"/>
      <protection hidden="1"/>
    </xf>
    <xf numFmtId="0" fontId="17" fillId="12" borderId="1" xfId="0" applyFont="1" applyFill="1" applyBorder="1" applyAlignment="1" applyProtection="1">
      <alignment horizontal="left" vertical="center"/>
      <protection hidden="1"/>
    </xf>
    <xf numFmtId="0" fontId="17" fillId="12" borderId="1" xfId="0" applyFont="1" applyFill="1" applyBorder="1" applyAlignment="1" applyProtection="1">
      <alignment vertical="center"/>
      <protection hidden="1"/>
    </xf>
    <xf numFmtId="0" fontId="20" fillId="12" borderId="53" xfId="0" applyFont="1" applyFill="1" applyBorder="1" applyAlignment="1" applyProtection="1">
      <alignment vertical="center" wrapText="1"/>
      <protection hidden="1"/>
    </xf>
    <xf numFmtId="0" fontId="20" fillId="12" borderId="44" xfId="0" applyFont="1" applyFill="1" applyBorder="1" applyAlignment="1" applyProtection="1">
      <alignment vertical="center" wrapText="1"/>
      <protection hidden="1"/>
    </xf>
    <xf numFmtId="0" fontId="13" fillId="12" borderId="44" xfId="0" applyFont="1" applyFill="1" applyBorder="1" applyAlignment="1" applyProtection="1">
      <alignment vertical="center"/>
      <protection hidden="1"/>
    </xf>
    <xf numFmtId="0" fontId="13" fillId="12" borderId="54" xfId="0" applyFont="1" applyFill="1" applyBorder="1" applyAlignment="1" applyProtection="1">
      <alignment vertical="center"/>
      <protection hidden="1"/>
    </xf>
    <xf numFmtId="0" fontId="25" fillId="12" borderId="1" xfId="0" applyFont="1" applyFill="1" applyBorder="1" applyAlignment="1" applyProtection="1">
      <alignment vertical="center" wrapText="1"/>
      <protection hidden="1"/>
    </xf>
    <xf numFmtId="0" fontId="24" fillId="12" borderId="0" xfId="0" applyFont="1" applyFill="1" applyBorder="1" applyAlignment="1" applyProtection="1">
      <alignment vertical="center"/>
      <protection hidden="1"/>
    </xf>
    <xf numFmtId="0" fontId="20" fillId="12" borderId="1" xfId="0" applyFont="1" applyFill="1" applyBorder="1" applyAlignment="1" applyProtection="1">
      <alignment vertical="center" wrapText="1"/>
      <protection hidden="1"/>
    </xf>
    <xf numFmtId="0" fontId="20" fillId="12" borderId="34" xfId="0" applyFont="1" applyFill="1" applyBorder="1" applyAlignment="1" applyProtection="1">
      <alignment vertical="center" wrapText="1"/>
      <protection hidden="1"/>
    </xf>
    <xf numFmtId="0" fontId="17" fillId="12" borderId="35" xfId="0" applyFont="1" applyFill="1" applyBorder="1" applyAlignment="1" applyProtection="1">
      <alignment horizontal="center" vertical="center" wrapText="1"/>
      <protection hidden="1"/>
    </xf>
    <xf numFmtId="0" fontId="13" fillId="12" borderId="35" xfId="0" applyFont="1" applyFill="1" applyBorder="1" applyAlignment="1" applyProtection="1">
      <alignment vertical="center"/>
      <protection hidden="1"/>
    </xf>
    <xf numFmtId="0" fontId="13" fillId="12" borderId="36" xfId="0" applyFont="1" applyFill="1" applyBorder="1" applyAlignment="1" applyProtection="1">
      <alignment vertical="center"/>
      <protection hidden="1"/>
    </xf>
    <xf numFmtId="0" fontId="17" fillId="12" borderId="2" xfId="0" applyFont="1" applyFill="1" applyBorder="1" applyAlignment="1" applyProtection="1">
      <alignment vertical="center"/>
      <protection hidden="1"/>
    </xf>
    <xf numFmtId="0" fontId="18" fillId="12" borderId="8" xfId="0" applyFont="1" applyFill="1" applyBorder="1" applyAlignment="1" applyProtection="1">
      <alignment vertical="center"/>
      <protection hidden="1"/>
    </xf>
    <xf numFmtId="0" fontId="13" fillId="12" borderId="8" xfId="0" applyFont="1" applyFill="1" applyBorder="1" applyAlignment="1" applyProtection="1">
      <alignment vertical="center"/>
      <protection hidden="1"/>
    </xf>
    <xf numFmtId="0" fontId="13" fillId="12" borderId="9" xfId="0" applyFont="1" applyFill="1" applyBorder="1" applyAlignment="1" applyProtection="1">
      <alignment vertical="center"/>
      <protection hidden="1"/>
    </xf>
    <xf numFmtId="0" fontId="5" fillId="0" borderId="26" xfId="0" applyFont="1" applyFill="1" applyBorder="1" applyAlignment="1" applyProtection="1">
      <alignment horizontal="right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0" fillId="0" borderId="4" xfId="0" applyBorder="1" applyAlignment="1" applyProtection="1">
      <protection hidden="1"/>
    </xf>
    <xf numFmtId="0" fontId="0" fillId="0" borderId="21" xfId="0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2" fontId="4" fillId="0" borderId="15" xfId="0" applyNumberFormat="1" applyFont="1" applyFill="1" applyBorder="1" applyAlignment="1" applyProtection="1">
      <protection hidden="1"/>
    </xf>
    <xf numFmtId="0" fontId="5" fillId="0" borderId="8" xfId="0" applyFont="1" applyFill="1" applyBorder="1" applyAlignment="1" applyProtection="1">
      <alignment horizontal="right" vertical="center" wrapText="1"/>
      <protection hidden="1"/>
    </xf>
    <xf numFmtId="0" fontId="5" fillId="0" borderId="9" xfId="0" applyFont="1" applyFill="1" applyBorder="1" applyAlignment="1" applyProtection="1">
      <alignment horizontal="right" vertical="center" wrapText="1"/>
      <protection hidden="1"/>
    </xf>
    <xf numFmtId="0" fontId="5" fillId="0" borderId="5" xfId="0" applyFont="1" applyFill="1" applyBorder="1" applyAlignment="1" applyProtection="1">
      <alignment horizontal="right" vertical="center" wrapText="1"/>
      <protection hidden="1"/>
    </xf>
    <xf numFmtId="0" fontId="5" fillId="0" borderId="21" xfId="0" applyFont="1" applyFill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right" vertical="center" wrapText="1"/>
      <protection hidden="1"/>
    </xf>
    <xf numFmtId="44" fontId="0" fillId="0" borderId="15" xfId="0" applyNumberFormat="1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44" fontId="0" fillId="0" borderId="0" xfId="0" applyNumberFormat="1" applyFill="1" applyBorder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44" fontId="14" fillId="15" borderId="12" xfId="1" applyFont="1" applyFill="1" applyBorder="1" applyAlignment="1" applyProtection="1">
      <protection hidden="1"/>
    </xf>
    <xf numFmtId="10" fontId="14" fillId="15" borderId="13" xfId="2" applyNumberFormat="1" applyFont="1" applyFill="1" applyBorder="1" applyAlignment="1" applyProtection="1">
      <protection hidden="1"/>
    </xf>
    <xf numFmtId="3" fontId="14" fillId="15" borderId="13" xfId="0" applyNumberFormat="1" applyFont="1" applyFill="1" applyBorder="1" applyAlignment="1" applyProtection="1">
      <protection hidden="1"/>
    </xf>
    <xf numFmtId="10" fontId="14" fillId="15" borderId="25" xfId="2" applyNumberFormat="1" applyFont="1" applyFill="1" applyBorder="1" applyAlignment="1" applyProtection="1">
      <protection hidden="1"/>
    </xf>
    <xf numFmtId="167" fontId="14" fillId="15" borderId="23" xfId="1" applyNumberFormat="1" applyFont="1" applyFill="1" applyBorder="1" applyAlignment="1" applyProtection="1">
      <alignment horizontal="center" vertical="center"/>
      <protection hidden="1"/>
    </xf>
    <xf numFmtId="167" fontId="14" fillId="15" borderId="11" xfId="1" applyNumberFormat="1" applyFont="1" applyFill="1" applyBorder="1" applyAlignment="1" applyProtection="1">
      <alignment horizontal="center" vertical="center"/>
      <protection hidden="1"/>
    </xf>
    <xf numFmtId="165" fontId="14" fillId="15" borderId="11" xfId="0" applyNumberFormat="1" applyFont="1" applyFill="1" applyBorder="1" applyAlignment="1" applyProtection="1">
      <alignment horizontal="center" vertical="center"/>
      <protection hidden="1"/>
    </xf>
    <xf numFmtId="0" fontId="14" fillId="15" borderId="12" xfId="0" applyFont="1" applyFill="1" applyBorder="1" applyAlignment="1" applyProtection="1">
      <alignment horizontal="center" vertical="center"/>
      <protection hidden="1"/>
    </xf>
    <xf numFmtId="167" fontId="14" fillId="15" borderId="3" xfId="1" applyNumberFormat="1" applyFont="1" applyFill="1" applyBorder="1" applyAlignment="1" applyProtection="1">
      <alignment horizontal="center" vertical="center"/>
      <protection hidden="1"/>
    </xf>
    <xf numFmtId="2" fontId="14" fillId="15" borderId="3" xfId="0" applyNumberFormat="1" applyFont="1" applyFill="1" applyBorder="1" applyAlignment="1" applyProtection="1">
      <alignment horizontal="center" vertical="center"/>
      <protection hidden="1"/>
    </xf>
    <xf numFmtId="164" fontId="14" fillId="15" borderId="13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2" fillId="8" borderId="0" xfId="0" applyFont="1" applyFill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171" fontId="0" fillId="0" borderId="3" xfId="0" applyNumberFormat="1" applyBorder="1" applyAlignment="1" applyProtection="1">
      <alignment horizontal="center" vertical="center"/>
      <protection hidden="1"/>
    </xf>
    <xf numFmtId="171" fontId="0" fillId="0" borderId="3" xfId="0" applyNumberFormat="1" applyBorder="1" applyProtection="1">
      <protection hidden="1"/>
    </xf>
    <xf numFmtId="0" fontId="36" fillId="2" borderId="10" xfId="0" applyFont="1" applyFill="1" applyBorder="1" applyProtection="1">
      <protection hidden="1"/>
    </xf>
    <xf numFmtId="0" fontId="36" fillId="2" borderId="42" xfId="0" applyFont="1" applyFill="1" applyBorder="1" applyProtection="1">
      <protection hidden="1"/>
    </xf>
    <xf numFmtId="0" fontId="36" fillId="2" borderId="47" xfId="0" applyFont="1" applyFill="1" applyBorder="1" applyProtection="1">
      <protection hidden="1"/>
    </xf>
    <xf numFmtId="0" fontId="20" fillId="12" borderId="0" xfId="0" applyFont="1" applyFill="1" applyBorder="1" applyAlignment="1" applyProtection="1">
      <alignment vertical="center" wrapText="1"/>
      <protection hidden="1"/>
    </xf>
    <xf numFmtId="0" fontId="42" fillId="0" borderId="0" xfId="0" applyFont="1" applyFill="1" applyBorder="1" applyAlignment="1" applyProtection="1">
      <alignment horizontal="center"/>
      <protection hidden="1"/>
    </xf>
    <xf numFmtId="0" fontId="41" fillId="0" borderId="23" xfId="0" applyFont="1" applyBorder="1" applyAlignment="1" applyProtection="1">
      <alignment horizontal="center"/>
      <protection hidden="1"/>
    </xf>
    <xf numFmtId="0" fontId="41" fillId="0" borderId="3" xfId="0" applyFont="1" applyBorder="1" applyAlignment="1" applyProtection="1">
      <alignment horizontal="center"/>
      <protection hidden="1"/>
    </xf>
    <xf numFmtId="0" fontId="41" fillId="0" borderId="0" xfId="0" applyFont="1" applyFill="1" applyBorder="1" applyAlignment="1" applyProtection="1">
      <alignment horizontal="center"/>
      <protection hidden="1"/>
    </xf>
    <xf numFmtId="0" fontId="41" fillId="0" borderId="1" xfId="0" applyFont="1" applyBorder="1" applyAlignment="1" applyProtection="1">
      <alignment horizontal="center" wrapText="1"/>
      <protection hidden="1"/>
    </xf>
    <xf numFmtId="0" fontId="41" fillId="0" borderId="0" xfId="0" applyFont="1" applyBorder="1" applyAlignment="1" applyProtection="1">
      <alignment horizontal="center" wrapText="1"/>
      <protection hidden="1"/>
    </xf>
    <xf numFmtId="0" fontId="17" fillId="12" borderId="53" xfId="0" applyFont="1" applyFill="1" applyBorder="1" applyAlignment="1" applyProtection="1">
      <alignment horizontal="center" vertical="center"/>
      <protection hidden="1"/>
    </xf>
    <xf numFmtId="0" fontId="17" fillId="12" borderId="44" xfId="0" applyFont="1" applyFill="1" applyBorder="1" applyAlignment="1" applyProtection="1">
      <alignment horizontal="center" vertical="center"/>
      <protection hidden="1"/>
    </xf>
    <xf numFmtId="0" fontId="0" fillId="2" borderId="21" xfId="0" applyFill="1" applyBorder="1" applyProtection="1"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2" fillId="8" borderId="0" xfId="0" applyFont="1" applyFill="1" applyBorder="1" applyAlignment="1" applyProtection="1">
      <alignment horizontal="left" vertical="center"/>
      <protection hidden="1"/>
    </xf>
    <xf numFmtId="167" fontId="0" fillId="3" borderId="2" xfId="0" applyNumberFormat="1" applyFill="1" applyBorder="1" applyAlignment="1" applyProtection="1"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167" fontId="3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9" fontId="0" fillId="0" borderId="0" xfId="0" applyNumberFormat="1" applyBorder="1" applyAlignment="1" applyProtection="1">
      <alignment horizontal="right"/>
      <protection hidden="1"/>
    </xf>
    <xf numFmtId="0" fontId="43" fillId="0" borderId="4" xfId="0" applyFont="1" applyBorder="1" applyProtection="1">
      <protection hidden="1"/>
    </xf>
    <xf numFmtId="0" fontId="0" fillId="0" borderId="1" xfId="0" applyBorder="1" applyAlignment="1" applyProtection="1">
      <alignment horizontal="left" wrapText="1"/>
      <protection hidden="1"/>
    </xf>
    <xf numFmtId="9" fontId="0" fillId="0" borderId="0" xfId="0" applyNumberFormat="1" applyBorder="1" applyAlignment="1" applyProtection="1">
      <alignment horizontal="right" wrapText="1"/>
      <protection hidden="1"/>
    </xf>
    <xf numFmtId="0" fontId="0" fillId="0" borderId="1" xfId="0" applyBorder="1" applyAlignment="1" applyProtection="1">
      <alignment horizontal="left"/>
      <protection hidden="1"/>
    </xf>
    <xf numFmtId="3" fontId="0" fillId="15" borderId="23" xfId="0" applyNumberFormat="1" applyFill="1" applyBorder="1" applyAlignment="1" applyProtection="1">
      <protection hidden="1"/>
    </xf>
    <xf numFmtId="3" fontId="0" fillId="15" borderId="3" xfId="0" applyNumberFormat="1" applyFill="1" applyBorder="1" applyAlignment="1" applyProtection="1">
      <protection hidden="1"/>
    </xf>
    <xf numFmtId="3" fontId="0" fillId="2" borderId="13" xfId="0" applyNumberFormat="1" applyFill="1" applyBorder="1" applyAlignment="1" applyProtection="1">
      <protection hidden="1"/>
    </xf>
    <xf numFmtId="3" fontId="9" fillId="15" borderId="24" xfId="0" applyNumberFormat="1" applyFont="1" applyFill="1" applyBorder="1" applyAlignment="1" applyProtection="1">
      <protection hidden="1"/>
    </xf>
    <xf numFmtId="3" fontId="9" fillId="15" borderId="14" xfId="0" applyNumberFormat="1" applyFont="1" applyFill="1" applyBorder="1" applyAlignment="1" applyProtection="1">
      <protection hidden="1"/>
    </xf>
    <xf numFmtId="0" fontId="46" fillId="2" borderId="0" xfId="0" applyFont="1" applyFill="1" applyAlignment="1" applyProtection="1">
      <alignment horizontal="left" vertical="top"/>
      <protection locked="0"/>
    </xf>
    <xf numFmtId="0" fontId="45" fillId="2" borderId="0" xfId="0" applyFont="1" applyFill="1" applyBorder="1" applyProtection="1">
      <protection locked="0"/>
    </xf>
    <xf numFmtId="0" fontId="46" fillId="2" borderId="0" xfId="0" applyFont="1" applyFill="1" applyAlignment="1" applyProtection="1">
      <alignment horizontal="left" vertical="center" wrapText="1"/>
      <protection locked="0"/>
    </xf>
    <xf numFmtId="0" fontId="46" fillId="2" borderId="0" xfId="0" applyFont="1" applyFill="1" applyAlignment="1" applyProtection="1">
      <alignment horizontal="left" vertical="center"/>
      <protection locked="0"/>
    </xf>
    <xf numFmtId="0" fontId="46" fillId="2" borderId="0" xfId="0" applyFont="1" applyFill="1" applyAlignment="1" applyProtection="1">
      <alignment vertical="top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45" fillId="2" borderId="0" xfId="0" applyFont="1" applyFill="1" applyBorder="1" applyAlignment="1" applyProtection="1">
      <alignment wrapText="1"/>
      <protection locked="0"/>
    </xf>
    <xf numFmtId="0" fontId="45" fillId="2" borderId="0" xfId="0" applyFont="1" applyFill="1" applyBorder="1" applyAlignment="1" applyProtection="1">
      <protection locked="0"/>
    </xf>
    <xf numFmtId="0" fontId="49" fillId="2" borderId="0" xfId="0" applyFont="1" applyFill="1" applyBorder="1" applyAlignment="1" applyProtection="1">
      <alignment vertical="center"/>
      <protection locked="0"/>
    </xf>
    <xf numFmtId="0" fontId="45" fillId="2" borderId="0" xfId="0" applyFont="1" applyFill="1" applyBorder="1" applyAlignment="1" applyProtection="1">
      <alignment vertical="center"/>
    </xf>
    <xf numFmtId="3" fontId="0" fillId="6" borderId="26" xfId="0" applyNumberFormat="1" applyFill="1" applyBorder="1" applyAlignment="1" applyProtection="1">
      <protection hidden="1"/>
    </xf>
    <xf numFmtId="3" fontId="7" fillId="2" borderId="26" xfId="0" applyNumberFormat="1" applyFont="1" applyFill="1" applyBorder="1" applyAlignment="1" applyProtection="1">
      <protection hidden="1"/>
    </xf>
    <xf numFmtId="3" fontId="9" fillId="2" borderId="26" xfId="0" applyNumberFormat="1" applyFont="1" applyFill="1" applyBorder="1" applyAlignment="1" applyProtection="1">
      <protection hidden="1"/>
    </xf>
    <xf numFmtId="3" fontId="0" fillId="2" borderId="26" xfId="0" applyNumberFormat="1" applyFill="1" applyBorder="1" applyAlignment="1" applyProtection="1">
      <protection hidden="1"/>
    </xf>
    <xf numFmtId="3" fontId="0" fillId="2" borderId="26" xfId="0" applyNumberFormat="1" applyFont="1" applyFill="1" applyBorder="1" applyAlignment="1" applyProtection="1">
      <protection hidden="1"/>
    </xf>
    <xf numFmtId="3" fontId="0" fillId="2" borderId="0" xfId="0" applyNumberFormat="1" applyFont="1" applyFill="1" applyBorder="1" applyAlignment="1" applyProtection="1">
      <alignment horizontal="left"/>
      <protection hidden="1"/>
    </xf>
    <xf numFmtId="3" fontId="5" fillId="2" borderId="0" xfId="0" applyNumberFormat="1" applyFont="1" applyFill="1" applyBorder="1" applyAlignment="1" applyProtection="1">
      <protection hidden="1"/>
    </xf>
    <xf numFmtId="3" fontId="5" fillId="2" borderId="0" xfId="0" applyNumberFormat="1" applyFont="1" applyFill="1" applyBorder="1" applyAlignment="1" applyProtection="1">
      <alignment horizontal="center" wrapText="1"/>
      <protection hidden="1"/>
    </xf>
    <xf numFmtId="3" fontId="10" fillId="2" borderId="0" xfId="0" applyNumberFormat="1" applyFont="1" applyFill="1" applyBorder="1" applyAlignment="1" applyProtection="1">
      <alignment horizontal="right" wrapText="1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vertical="center"/>
      <protection hidden="1"/>
    </xf>
    <xf numFmtId="0" fontId="17" fillId="12" borderId="0" xfId="0" applyFont="1" applyFill="1" applyBorder="1" applyAlignment="1" applyProtection="1">
      <alignment horizontal="left" vertical="center" wrapText="1"/>
      <protection hidden="1"/>
    </xf>
    <xf numFmtId="0" fontId="20" fillId="12" borderId="0" xfId="0" applyFont="1" applyFill="1" applyBorder="1" applyAlignment="1" applyProtection="1">
      <alignment horizontal="center" vertical="center" wrapText="1"/>
      <protection hidden="1"/>
    </xf>
    <xf numFmtId="0" fontId="20" fillId="12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55" fillId="0" borderId="0" xfId="0" applyFont="1" applyAlignment="1" applyProtection="1">
      <alignment vertical="center"/>
      <protection hidden="1"/>
    </xf>
    <xf numFmtId="0" fontId="23" fillId="12" borderId="1" xfId="0" applyFont="1" applyFill="1" applyBorder="1" applyAlignment="1" applyProtection="1">
      <alignment vertical="center"/>
      <protection hidden="1"/>
    </xf>
    <xf numFmtId="0" fontId="43" fillId="12" borderId="0" xfId="0" applyFont="1" applyFill="1" applyAlignment="1" applyProtection="1">
      <alignment vertical="top"/>
      <protection hidden="1"/>
    </xf>
    <xf numFmtId="0" fontId="46" fillId="12" borderId="0" xfId="0" applyFont="1" applyFill="1" applyAlignment="1" applyProtection="1">
      <alignment vertical="top"/>
      <protection hidden="1"/>
    </xf>
    <xf numFmtId="0" fontId="6" fillId="12" borderId="0" xfId="0" applyFont="1" applyFill="1" applyAlignment="1" applyProtection="1">
      <alignment vertical="top"/>
      <protection hidden="1"/>
    </xf>
    <xf numFmtId="0" fontId="45" fillId="2" borderId="0" xfId="0" applyFont="1" applyFill="1" applyBorder="1" applyProtection="1">
      <protection hidden="1"/>
    </xf>
    <xf numFmtId="0" fontId="45" fillId="12" borderId="0" xfId="0" applyFont="1" applyFill="1" applyAlignment="1" applyProtection="1">
      <alignment vertical="center"/>
      <protection hidden="1"/>
    </xf>
    <xf numFmtId="0" fontId="46" fillId="12" borderId="0" xfId="0" applyFont="1" applyFill="1" applyAlignment="1" applyProtection="1">
      <alignment vertical="center"/>
      <protection hidden="1"/>
    </xf>
    <xf numFmtId="0" fontId="46" fillId="12" borderId="0" xfId="0" applyFont="1" applyFill="1" applyBorder="1" applyAlignment="1" applyProtection="1">
      <alignment vertical="center"/>
      <protection hidden="1"/>
    </xf>
    <xf numFmtId="0" fontId="46" fillId="12" borderId="0" xfId="0" applyFont="1" applyFill="1" applyAlignment="1" applyProtection="1">
      <alignment vertical="center" wrapText="1"/>
      <protection hidden="1"/>
    </xf>
    <xf numFmtId="0" fontId="45" fillId="12" borderId="0" xfId="0" applyFont="1" applyFill="1" applyAlignment="1" applyProtection="1">
      <alignment vertical="center" wrapText="1"/>
      <protection hidden="1"/>
    </xf>
    <xf numFmtId="0" fontId="45" fillId="12" borderId="0" xfId="0" applyFont="1" applyFill="1" applyBorder="1" applyAlignment="1" applyProtection="1">
      <alignment vertical="center" wrapText="1"/>
      <protection hidden="1"/>
    </xf>
    <xf numFmtId="0" fontId="43" fillId="12" borderId="0" xfId="0" applyFont="1" applyFill="1" applyAlignment="1" applyProtection="1">
      <alignment vertical="center"/>
      <protection hidden="1"/>
    </xf>
    <xf numFmtId="0" fontId="6" fillId="12" borderId="0" xfId="0" applyFont="1" applyFill="1" applyAlignment="1" applyProtection="1">
      <alignment vertical="center"/>
      <protection hidden="1"/>
    </xf>
    <xf numFmtId="0" fontId="45" fillId="12" borderId="0" xfId="0" applyFont="1" applyFill="1" applyBorder="1" applyAlignment="1" applyProtection="1">
      <alignment vertical="center"/>
      <protection hidden="1"/>
    </xf>
    <xf numFmtId="0" fontId="45" fillId="2" borderId="0" xfId="0" applyFont="1" applyFill="1" applyAlignment="1" applyProtection="1">
      <alignment wrapText="1"/>
      <protection hidden="1"/>
    </xf>
    <xf numFmtId="0" fontId="45" fillId="2" borderId="0" xfId="0" applyFont="1" applyFill="1" applyProtection="1">
      <protection hidden="1"/>
    </xf>
    <xf numFmtId="0" fontId="45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46" fillId="0" borderId="0" xfId="0" applyFont="1" applyFill="1" applyAlignment="1" applyProtection="1">
      <alignment vertical="top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 wrapText="1"/>
      <protection hidden="1"/>
    </xf>
    <xf numFmtId="0" fontId="45" fillId="2" borderId="0" xfId="0" applyFont="1" applyFill="1" applyBorder="1" applyProtection="1"/>
    <xf numFmtId="0" fontId="45" fillId="2" borderId="1" xfId="0" applyFont="1" applyFill="1" applyBorder="1" applyProtection="1"/>
    <xf numFmtId="0" fontId="45" fillId="0" borderId="15" xfId="0" applyFont="1" applyFill="1" applyBorder="1" applyAlignment="1" applyProtection="1">
      <alignment vertical="top"/>
    </xf>
    <xf numFmtId="0" fontId="45" fillId="0" borderId="0" xfId="0" applyFont="1" applyFill="1" applyAlignment="1" applyProtection="1">
      <alignment vertical="top"/>
    </xf>
    <xf numFmtId="0" fontId="46" fillId="2" borderId="0" xfId="0" applyFont="1" applyFill="1" applyAlignment="1" applyProtection="1">
      <alignment horizontal="left" vertical="top"/>
    </xf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0" fontId="0" fillId="0" borderId="0" xfId="0" applyFont="1" applyFill="1" applyBorder="1" applyProtection="1"/>
    <xf numFmtId="0" fontId="45" fillId="0" borderId="0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/>
    </xf>
    <xf numFmtId="0" fontId="46" fillId="0" borderId="15" xfId="0" applyFont="1" applyFill="1" applyBorder="1" applyAlignment="1" applyProtection="1">
      <alignment vertical="center"/>
    </xf>
    <xf numFmtId="0" fontId="46" fillId="0" borderId="0" xfId="0" applyFont="1" applyFill="1" applyAlignment="1" applyProtection="1">
      <alignment vertical="center"/>
    </xf>
    <xf numFmtId="0" fontId="46" fillId="2" borderId="0" xfId="0" applyFont="1" applyFill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46" fillId="0" borderId="0" xfId="0" applyFont="1" applyFill="1" applyAlignment="1" applyProtection="1">
      <alignment vertical="center" wrapText="1"/>
    </xf>
    <xf numFmtId="0" fontId="46" fillId="0" borderId="0" xfId="0" applyFont="1" applyFill="1" applyAlignment="1" applyProtection="1">
      <alignment horizontal="left" vertical="center" wrapText="1"/>
    </xf>
    <xf numFmtId="0" fontId="45" fillId="0" borderId="0" xfId="0" applyFont="1" applyFill="1" applyAlignment="1" applyProtection="1">
      <alignment vertical="center" wrapText="1"/>
    </xf>
    <xf numFmtId="0" fontId="45" fillId="0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horizontal="left" vertical="center"/>
    </xf>
    <xf numFmtId="0" fontId="46" fillId="0" borderId="0" xfId="0" applyFont="1" applyFill="1" applyBorder="1" applyAlignment="1" applyProtection="1">
      <alignment vertical="top"/>
    </xf>
    <xf numFmtId="0" fontId="46" fillId="0" borderId="15" xfId="0" applyFont="1" applyFill="1" applyBorder="1" applyAlignment="1" applyProtection="1">
      <alignment vertical="top"/>
    </xf>
    <xf numFmtId="0" fontId="46" fillId="0" borderId="0" xfId="0" applyFont="1" applyFill="1" applyAlignment="1" applyProtection="1">
      <alignment vertical="top"/>
    </xf>
    <xf numFmtId="0" fontId="46" fillId="2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center" wrapText="1"/>
    </xf>
    <xf numFmtId="0" fontId="46" fillId="0" borderId="15" xfId="0" applyFont="1" applyFill="1" applyBorder="1" applyAlignment="1" applyProtection="1">
      <alignment vertical="center" wrapText="1"/>
    </xf>
    <xf numFmtId="0" fontId="45" fillId="0" borderId="0" xfId="0" applyFont="1" applyFill="1" applyAlignment="1" applyProtection="1">
      <alignment vertical="center"/>
    </xf>
    <xf numFmtId="0" fontId="46" fillId="2" borderId="0" xfId="0" applyFont="1" applyFill="1" applyBorder="1" applyProtection="1"/>
    <xf numFmtId="0" fontId="45" fillId="0" borderId="0" xfId="0" applyFont="1" applyBorder="1" applyAlignment="1" applyProtection="1">
      <alignment wrapText="1"/>
    </xf>
    <xf numFmtId="0" fontId="49" fillId="2" borderId="15" xfId="0" applyFont="1" applyFill="1" applyBorder="1" applyAlignment="1" applyProtection="1">
      <alignment horizontal="right" vertical="center"/>
    </xf>
    <xf numFmtId="0" fontId="45" fillId="2" borderId="0" xfId="0" applyFont="1" applyFill="1" applyBorder="1" applyAlignment="1" applyProtection="1">
      <alignment wrapText="1"/>
    </xf>
    <xf numFmtId="0" fontId="9" fillId="2" borderId="2" xfId="0" applyFont="1" applyFill="1" applyBorder="1" applyAlignment="1" applyProtection="1"/>
    <xf numFmtId="0" fontId="0" fillId="0" borderId="8" xfId="0" applyFont="1" applyBorder="1" applyAlignment="1" applyProtection="1">
      <alignment wrapText="1"/>
    </xf>
    <xf numFmtId="0" fontId="54" fillId="2" borderId="8" xfId="0" applyFont="1" applyFill="1" applyBorder="1" applyAlignment="1" applyProtection="1">
      <alignment horizontal="center" vertical="center"/>
    </xf>
    <xf numFmtId="0" fontId="45" fillId="0" borderId="8" xfId="0" applyFont="1" applyBorder="1" applyAlignment="1" applyProtection="1">
      <alignment wrapText="1"/>
    </xf>
    <xf numFmtId="0" fontId="45" fillId="2" borderId="8" xfId="0" applyFont="1" applyFill="1" applyBorder="1" applyProtection="1"/>
    <xf numFmtId="0" fontId="49" fillId="2" borderId="9" xfId="0" applyFont="1" applyFill="1" applyBorder="1" applyAlignment="1" applyProtection="1">
      <alignment horizontal="right" vertical="center"/>
    </xf>
    <xf numFmtId="0" fontId="50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0" fontId="36" fillId="2" borderId="18" xfId="0" applyFont="1" applyFill="1" applyBorder="1" applyAlignment="1" applyProtection="1">
      <alignment horizontal="center" vertical="center" wrapText="1"/>
      <protection hidden="1"/>
    </xf>
    <xf numFmtId="0" fontId="23" fillId="12" borderId="1" xfId="0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9" fontId="0" fillId="0" borderId="0" xfId="0" applyNumberFormat="1" applyBorder="1" applyProtection="1">
      <protection hidden="1"/>
    </xf>
    <xf numFmtId="167" fontId="10" fillId="2" borderId="6" xfId="0" applyNumberFormat="1" applyFont="1" applyFill="1" applyBorder="1" applyAlignment="1" applyProtection="1"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top"/>
    </xf>
    <xf numFmtId="164" fontId="5" fillId="15" borderId="26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protection hidden="1"/>
    </xf>
    <xf numFmtId="0" fontId="0" fillId="0" borderId="17" xfId="0" applyBorder="1" applyAlignment="1" applyProtection="1"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vertical="center" wrapText="1"/>
      <protection hidden="1"/>
    </xf>
    <xf numFmtId="0" fontId="9" fillId="11" borderId="3" xfId="0" applyFont="1" applyFill="1" applyBorder="1" applyAlignment="1" applyProtection="1">
      <alignment horizontal="center" vertical="center" wrapText="1"/>
      <protection hidden="1"/>
    </xf>
    <xf numFmtId="167" fontId="0" fillId="15" borderId="3" xfId="0" applyNumberFormat="1" applyFill="1" applyBorder="1" applyAlignment="1" applyProtection="1">
      <alignment horizontal="center" vertical="center"/>
      <protection hidden="1"/>
    </xf>
    <xf numFmtId="164" fontId="0" fillId="15" borderId="3" xfId="2" applyNumberFormat="1" applyFont="1" applyFill="1" applyBorder="1" applyAlignment="1" applyProtection="1">
      <alignment horizontal="center" vertical="center"/>
      <protection hidden="1"/>
    </xf>
    <xf numFmtId="0" fontId="13" fillId="17" borderId="3" xfId="0" applyFont="1" applyFill="1" applyBorder="1" applyAlignment="1" applyProtection="1">
      <alignment vertical="center"/>
      <protection locked="0"/>
    </xf>
    <xf numFmtId="0" fontId="0" fillId="17" borderId="47" xfId="0" applyFill="1" applyBorder="1" applyAlignment="1" applyProtection="1">
      <alignment horizontal="left" vertical="center"/>
      <protection locked="0"/>
    </xf>
    <xf numFmtId="3" fontId="0" fillId="17" borderId="3" xfId="0" applyNumberFormat="1" applyFill="1" applyBorder="1" applyAlignment="1" applyProtection="1">
      <alignment horizontal="left" vertical="center"/>
      <protection locked="0"/>
    </xf>
    <xf numFmtId="0" fontId="0" fillId="17" borderId="3" xfId="0" applyFill="1" applyBorder="1" applyAlignment="1" applyProtection="1">
      <alignment horizontal="left" vertical="center"/>
      <protection locked="0"/>
    </xf>
    <xf numFmtId="0" fontId="44" fillId="17" borderId="3" xfId="7" applyFill="1" applyBorder="1" applyAlignment="1" applyProtection="1">
      <alignment horizontal="left" vertical="center"/>
      <protection locked="0"/>
    </xf>
    <xf numFmtId="3" fontId="0" fillId="17" borderId="3" xfId="0" applyNumberFormat="1" applyFill="1" applyBorder="1" applyAlignment="1" applyProtection="1">
      <alignment horizontal="center" vertical="center"/>
      <protection locked="0"/>
    </xf>
    <xf numFmtId="167" fontId="3" fillId="17" borderId="3" xfId="1" applyNumberFormat="1" applyFont="1" applyFill="1" applyBorder="1" applyAlignment="1" applyProtection="1">
      <alignment horizontal="center" vertical="center"/>
      <protection locked="0"/>
    </xf>
    <xf numFmtId="3" fontId="0" fillId="17" borderId="3" xfId="0" applyNumberFormat="1" applyFont="1" applyFill="1" applyBorder="1" applyAlignment="1" applyProtection="1">
      <alignment horizontal="center" vertical="center"/>
      <protection locked="0"/>
    </xf>
    <xf numFmtId="0" fontId="0" fillId="17" borderId="3" xfId="0" applyFill="1" applyBorder="1" applyAlignment="1" applyProtection="1">
      <alignment horizontal="left" vertical="center" wrapText="1"/>
      <protection locked="0"/>
    </xf>
    <xf numFmtId="3" fontId="0" fillId="17" borderId="23" xfId="0" applyNumberFormat="1" applyFill="1" applyBorder="1" applyAlignment="1" applyProtection="1">
      <alignment horizontal="center" vertical="center"/>
      <protection locked="0"/>
    </xf>
    <xf numFmtId="3" fontId="3" fillId="17" borderId="18" xfId="1" applyNumberFormat="1" applyFont="1" applyFill="1" applyBorder="1" applyAlignment="1" applyProtection="1">
      <alignment horizontal="center" vertical="center"/>
      <protection locked="0"/>
    </xf>
    <xf numFmtId="167" fontId="3" fillId="17" borderId="23" xfId="1" applyNumberFormat="1" applyFont="1" applyFill="1" applyBorder="1" applyAlignment="1" applyProtection="1">
      <alignment horizontal="center" vertical="center"/>
      <protection locked="0"/>
    </xf>
    <xf numFmtId="167" fontId="3" fillId="17" borderId="18" xfId="1" applyNumberFormat="1" applyFont="1" applyFill="1" applyBorder="1" applyAlignment="1" applyProtection="1">
      <alignment horizontal="center" vertical="center"/>
      <protection locked="0"/>
    </xf>
    <xf numFmtId="167" fontId="3" fillId="17" borderId="24" xfId="1" applyNumberFormat="1" applyFont="1" applyFill="1" applyBorder="1" applyAlignment="1" applyProtection="1">
      <alignment horizontal="center" vertical="center"/>
      <protection locked="0"/>
    </xf>
    <xf numFmtId="167" fontId="3" fillId="17" borderId="29" xfId="1" applyNumberFormat="1" applyFont="1" applyFill="1" applyBorder="1" applyAlignment="1" applyProtection="1">
      <alignment horizontal="center" vertical="center"/>
      <protection locked="0"/>
    </xf>
    <xf numFmtId="0" fontId="0" fillId="17" borderId="14" xfId="0" applyFill="1" applyBorder="1" applyAlignment="1" applyProtection="1">
      <alignment horizontal="left" vertical="center" wrapText="1"/>
      <protection locked="0"/>
    </xf>
    <xf numFmtId="3" fontId="0" fillId="17" borderId="14" xfId="0" applyNumberFormat="1" applyFill="1" applyBorder="1" applyAlignment="1" applyProtection="1">
      <alignment horizontal="center" vertical="center"/>
      <protection locked="0"/>
    </xf>
    <xf numFmtId="167" fontId="3" fillId="17" borderId="20" xfId="1" applyNumberFormat="1" applyFont="1" applyFill="1" applyBorder="1" applyAlignment="1" applyProtection="1">
      <alignment horizontal="center" vertical="center"/>
      <protection locked="0"/>
    </xf>
    <xf numFmtId="167" fontId="3" fillId="17" borderId="10" xfId="1" applyNumberFormat="1" applyFont="1" applyFill="1" applyBorder="1" applyAlignment="1" applyProtection="1">
      <alignment horizontal="center" vertical="center"/>
      <protection locked="0"/>
    </xf>
    <xf numFmtId="167" fontId="3" fillId="17" borderId="47" xfId="1" applyNumberFormat="1" applyFont="1" applyFill="1" applyBorder="1" applyAlignment="1" applyProtection="1">
      <alignment horizontal="center" vertical="center"/>
      <protection locked="0"/>
    </xf>
    <xf numFmtId="0" fontId="0" fillId="17" borderId="20" xfId="0" applyFill="1" applyBorder="1" applyAlignment="1" applyProtection="1">
      <alignment horizontal="center" vertical="center" wrapText="1"/>
      <protection locked="0"/>
    </xf>
    <xf numFmtId="0" fontId="0" fillId="17" borderId="38" xfId="0" applyFill="1" applyBorder="1" applyAlignment="1" applyProtection="1">
      <alignment horizontal="center" vertical="center" wrapText="1"/>
      <protection locked="0"/>
    </xf>
    <xf numFmtId="0" fontId="0" fillId="17" borderId="18" xfId="0" applyFill="1" applyBorder="1" applyAlignment="1" applyProtection="1">
      <alignment horizontal="left" vertical="center" wrapText="1"/>
      <protection locked="0"/>
    </xf>
    <xf numFmtId="166" fontId="3" fillId="17" borderId="23" xfId="1" applyNumberFormat="1" applyFont="1" applyFill="1" applyBorder="1" applyAlignment="1" applyProtection="1">
      <alignment horizontal="center" vertical="center"/>
      <protection locked="0"/>
    </xf>
    <xf numFmtId="0" fontId="0" fillId="17" borderId="29" xfId="0" applyFill="1" applyBorder="1" applyAlignment="1" applyProtection="1">
      <alignment horizontal="left" vertical="center" wrapText="1"/>
      <protection locked="0"/>
    </xf>
    <xf numFmtId="44" fontId="5" fillId="17" borderId="26" xfId="0" applyNumberFormat="1" applyFont="1" applyFill="1" applyBorder="1" applyAlignment="1" applyProtection="1">
      <alignment horizontal="center" vertical="center"/>
      <protection locked="0"/>
    </xf>
    <xf numFmtId="44" fontId="0" fillId="17" borderId="26" xfId="0" applyNumberFormat="1" applyFont="1" applyFill="1" applyBorder="1" applyAlignment="1" applyProtection="1">
      <alignment horizontal="center" vertical="center"/>
      <protection locked="0"/>
    </xf>
    <xf numFmtId="0" fontId="49" fillId="2" borderId="0" xfId="0" applyFont="1" applyFill="1" applyBorder="1" applyAlignment="1" applyProtection="1">
      <alignment vertical="center"/>
      <protection hidden="1"/>
    </xf>
    <xf numFmtId="0" fontId="45" fillId="2" borderId="0" xfId="0" applyFont="1" applyFill="1" applyBorder="1" applyAlignment="1" applyProtection="1">
      <alignment horizontal="left"/>
      <protection hidden="1"/>
    </xf>
    <xf numFmtId="0" fontId="48" fillId="2" borderId="0" xfId="0" applyFont="1" applyFill="1" applyBorder="1" applyAlignment="1" applyProtection="1">
      <alignment horizontal="left" vertical="center" wrapText="1"/>
      <protection hidden="1"/>
    </xf>
    <xf numFmtId="0" fontId="49" fillId="2" borderId="0" xfId="0" applyFont="1" applyFill="1" applyBorder="1" applyAlignment="1" applyProtection="1">
      <alignment horizontal="left" vertical="center"/>
      <protection hidden="1"/>
    </xf>
    <xf numFmtId="0" fontId="45" fillId="2" borderId="0" xfId="0" applyFont="1" applyFill="1" applyBorder="1" applyAlignment="1" applyProtection="1">
      <alignment wrapText="1"/>
      <protection hidden="1"/>
    </xf>
    <xf numFmtId="0" fontId="48" fillId="2" borderId="0" xfId="0" applyFont="1" applyFill="1" applyBorder="1" applyAlignment="1" applyProtection="1">
      <alignment horizontal="left" vertical="center" wrapText="1" indent="2"/>
      <protection hidden="1"/>
    </xf>
    <xf numFmtId="0" fontId="46" fillId="2" borderId="0" xfId="0" applyFont="1" applyFill="1" applyBorder="1" applyProtection="1">
      <protection hidden="1"/>
    </xf>
    <xf numFmtId="0" fontId="48" fillId="2" borderId="0" xfId="0" applyFont="1" applyFill="1" applyBorder="1" applyAlignment="1" applyProtection="1">
      <alignment vertical="center"/>
      <protection hidden="1"/>
    </xf>
    <xf numFmtId="0" fontId="45" fillId="0" borderId="0" xfId="0" applyFont="1" applyBorder="1" applyAlignment="1" applyProtection="1">
      <alignment wrapText="1"/>
      <protection hidden="1"/>
    </xf>
    <xf numFmtId="0" fontId="49" fillId="2" borderId="0" xfId="0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protection hidden="1"/>
    </xf>
    <xf numFmtId="0" fontId="47" fillId="2" borderId="0" xfId="0" applyFont="1" applyFill="1" applyAlignment="1" applyProtection="1">
      <protection hidden="1"/>
    </xf>
    <xf numFmtId="0" fontId="8" fillId="2" borderId="0" xfId="0" applyFont="1" applyFill="1" applyAlignment="1" applyProtection="1">
      <alignment wrapText="1"/>
      <protection hidden="1"/>
    </xf>
    <xf numFmtId="0" fontId="53" fillId="2" borderId="0" xfId="0" applyFont="1" applyFill="1" applyAlignment="1" applyProtection="1">
      <alignment vertical="center"/>
      <protection hidden="1"/>
    </xf>
    <xf numFmtId="0" fontId="49" fillId="2" borderId="0" xfId="0" applyFont="1" applyFill="1" applyAlignment="1" applyProtection="1">
      <alignment vertical="center"/>
      <protection hidden="1"/>
    </xf>
    <xf numFmtId="0" fontId="8" fillId="2" borderId="0" xfId="0" applyFont="1" applyFill="1" applyProtection="1">
      <protection hidden="1"/>
    </xf>
    <xf numFmtId="0" fontId="45" fillId="0" borderId="37" xfId="0" applyFont="1" applyBorder="1" applyAlignment="1" applyProtection="1">
      <protection hidden="1"/>
    </xf>
    <xf numFmtId="0" fontId="45" fillId="2" borderId="0" xfId="0" applyFont="1" applyFill="1" applyBorder="1" applyAlignment="1" applyProtection="1">
      <protection hidden="1"/>
    </xf>
    <xf numFmtId="0" fontId="45" fillId="0" borderId="0" xfId="0" applyFont="1" applyFill="1" applyBorder="1" applyAlignment="1" applyProtection="1">
      <protection hidden="1"/>
    </xf>
    <xf numFmtId="0" fontId="0" fillId="2" borderId="26" xfId="0" applyFill="1" applyBorder="1" applyAlignment="1" applyProtection="1">
      <alignment horizontal="center" vertical="center" wrapText="1"/>
      <protection hidden="1"/>
    </xf>
    <xf numFmtId="0" fontId="0" fillId="2" borderId="27" xfId="0" applyFill="1" applyBorder="1" applyAlignment="1" applyProtection="1">
      <alignment horizontal="center" vertical="center" wrapText="1"/>
      <protection hidden="1"/>
    </xf>
    <xf numFmtId="44" fontId="0" fillId="10" borderId="26" xfId="0" applyNumberFormat="1" applyFont="1" applyFill="1" applyBorder="1" applyAlignment="1" applyProtection="1">
      <alignment horizontal="center" vertical="center"/>
      <protection hidden="1"/>
    </xf>
    <xf numFmtId="44" fontId="39" fillId="10" borderId="26" xfId="0" applyNumberFormat="1" applyFont="1" applyFill="1" applyBorder="1" applyAlignment="1" applyProtection="1">
      <alignment horizontal="center" vertical="center"/>
      <protection hidden="1"/>
    </xf>
    <xf numFmtId="167" fontId="0" fillId="15" borderId="13" xfId="0" applyNumberFormat="1" applyFill="1" applyBorder="1" applyAlignment="1" applyProtection="1">
      <alignment horizontal="center" vertical="center"/>
      <protection hidden="1"/>
    </xf>
    <xf numFmtId="0" fontId="6" fillId="15" borderId="12" xfId="0" applyFont="1" applyFill="1" applyBorder="1" applyAlignment="1" applyProtection="1">
      <alignment horizontal="center" vertical="center" wrapText="1"/>
      <protection hidden="1"/>
    </xf>
    <xf numFmtId="167" fontId="0" fillId="15" borderId="26" xfId="0" applyNumberFormat="1" applyFill="1" applyBorder="1" applyAlignment="1" applyProtection="1">
      <alignment horizontal="center" vertical="center"/>
      <protection hidden="1"/>
    </xf>
    <xf numFmtId="1" fontId="0" fillId="15" borderId="26" xfId="0" applyNumberFormat="1" applyFill="1" applyBorder="1" applyAlignment="1" applyProtection="1">
      <alignment horizontal="center" vertical="center"/>
      <protection hidden="1"/>
    </xf>
    <xf numFmtId="44" fontId="0" fillId="15" borderId="16" xfId="0" applyNumberFormat="1" applyFont="1" applyFill="1" applyBorder="1" applyAlignment="1" applyProtection="1">
      <alignment horizontal="center" vertical="center"/>
      <protection hidden="1"/>
    </xf>
    <xf numFmtId="1" fontId="5" fillId="15" borderId="6" xfId="1" applyNumberFormat="1" applyFont="1" applyFill="1" applyBorder="1" applyAlignment="1" applyProtection="1">
      <alignment horizontal="center" vertical="center"/>
      <protection hidden="1"/>
    </xf>
    <xf numFmtId="1" fontId="5" fillId="15" borderId="26" xfId="1" applyNumberFormat="1" applyFont="1" applyFill="1" applyBorder="1" applyAlignment="1" applyProtection="1">
      <alignment horizontal="center" vertical="center"/>
      <protection hidden="1"/>
    </xf>
    <xf numFmtId="44" fontId="5" fillId="15" borderId="26" xfId="1" applyNumberFormat="1" applyFont="1" applyFill="1" applyBorder="1" applyAlignment="1" applyProtection="1">
      <alignment horizontal="center" vertical="center"/>
      <protection hidden="1"/>
    </xf>
    <xf numFmtId="10" fontId="9" fillId="15" borderId="26" xfId="1" applyNumberFormat="1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1" fontId="0" fillId="15" borderId="13" xfId="0" applyNumberFormat="1" applyFill="1" applyBorder="1" applyAlignment="1" applyProtection="1">
      <alignment horizontal="center" vertical="center"/>
      <protection hidden="1"/>
    </xf>
    <xf numFmtId="0" fontId="6" fillId="15" borderId="50" xfId="0" applyFont="1" applyFill="1" applyBorder="1" applyAlignment="1" applyProtection="1">
      <alignment horizontal="center" vertical="center" wrapText="1"/>
      <protection hidden="1"/>
    </xf>
    <xf numFmtId="1" fontId="3" fillId="15" borderId="13" xfId="1" applyNumberFormat="1" applyFont="1" applyFill="1" applyBorder="1" applyAlignment="1" applyProtection="1">
      <alignment horizontal="center" vertical="center"/>
      <protection hidden="1"/>
    </xf>
    <xf numFmtId="0" fontId="21" fillId="15" borderId="42" xfId="0" applyFont="1" applyFill="1" applyBorder="1" applyAlignment="1" applyProtection="1">
      <alignment horizontal="center" vertical="center" wrapText="1"/>
      <protection hidden="1"/>
    </xf>
    <xf numFmtId="167" fontId="5" fillId="15" borderId="3" xfId="1" applyNumberFormat="1" applyFont="1" applyFill="1" applyBorder="1" applyAlignment="1" applyProtection="1">
      <alignment horizontal="center" vertical="center"/>
      <protection hidden="1"/>
    </xf>
    <xf numFmtId="2" fontId="5" fillId="15" borderId="3" xfId="0" applyNumberFormat="1" applyFont="1" applyFill="1" applyBorder="1" applyAlignment="1" applyProtection="1">
      <alignment horizontal="center" vertical="center"/>
      <protection hidden="1"/>
    </xf>
    <xf numFmtId="0" fontId="57" fillId="2" borderId="0" xfId="0" applyFont="1" applyFill="1" applyBorder="1" applyAlignment="1" applyProtection="1">
      <alignment horizontal="center" vertical="center" wrapText="1"/>
      <protection hidden="1"/>
    </xf>
    <xf numFmtId="0" fontId="17" fillId="12" borderId="1" xfId="0" quotePrefix="1" applyFont="1" applyFill="1" applyBorder="1" applyAlignment="1" applyProtection="1">
      <alignment vertical="center" wrapText="1"/>
      <protection hidden="1"/>
    </xf>
    <xf numFmtId="0" fontId="9" fillId="2" borderId="0" xfId="0" applyFont="1" applyFill="1" applyBorder="1" applyAlignment="1" applyProtection="1">
      <alignment horizontal="center"/>
    </xf>
    <xf numFmtId="0" fontId="6" fillId="15" borderId="42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left" vertical="center" wrapText="1"/>
      <protection hidden="1"/>
    </xf>
    <xf numFmtId="167" fontId="0" fillId="15" borderId="10" xfId="0" applyNumberFormat="1" applyFill="1" applyBorder="1" applyAlignment="1" applyProtection="1">
      <alignment horizontal="center" vertical="center"/>
      <protection hidden="1"/>
    </xf>
    <xf numFmtId="167" fontId="0" fillId="15" borderId="47" xfId="0" applyNumberFormat="1" applyFill="1" applyBorder="1" applyAlignment="1" applyProtection="1">
      <alignment horizontal="center" vertical="center"/>
      <protection hidden="1"/>
    </xf>
    <xf numFmtId="164" fontId="0" fillId="15" borderId="10" xfId="2" applyNumberFormat="1" applyFont="1" applyFill="1" applyBorder="1" applyAlignment="1" applyProtection="1">
      <alignment horizontal="center" vertical="center"/>
      <protection hidden="1"/>
    </xf>
    <xf numFmtId="4" fontId="0" fillId="15" borderId="10" xfId="0" applyNumberForma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 wrapText="1"/>
      <protection hidden="1"/>
    </xf>
    <xf numFmtId="0" fontId="6" fillId="15" borderId="32" xfId="0" applyFont="1" applyFill="1" applyBorder="1" applyAlignment="1" applyProtection="1">
      <alignment horizontal="center" vertical="center" wrapText="1"/>
      <protection hidden="1"/>
    </xf>
    <xf numFmtId="0" fontId="6" fillId="2" borderId="32" xfId="0" applyFont="1" applyFill="1" applyBorder="1" applyAlignment="1" applyProtection="1">
      <alignment horizontal="center" vertical="center" wrapText="1"/>
      <protection hidden="1"/>
    </xf>
    <xf numFmtId="0" fontId="6" fillId="2" borderId="58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/>
    <xf numFmtId="0" fontId="0" fillId="10" borderId="0" xfId="0" applyFill="1" applyAlignment="1" applyProtection="1">
      <alignment horizontal="center" vertical="center" wrapText="1"/>
      <protection hidden="1"/>
    </xf>
    <xf numFmtId="0" fontId="0" fillId="10" borderId="0" xfId="0" applyFill="1" applyAlignment="1" applyProtection="1">
      <alignment horizontal="left" vertical="center"/>
      <protection hidden="1"/>
    </xf>
    <xf numFmtId="0" fontId="0" fillId="10" borderId="0" xfId="0" applyFill="1" applyAlignment="1" applyProtection="1">
      <alignment horizontal="center" vertical="center"/>
      <protection hidden="1"/>
    </xf>
    <xf numFmtId="3" fontId="43" fillId="15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wrapText="1"/>
      <protection hidden="1"/>
    </xf>
    <xf numFmtId="0" fontId="0" fillId="0" borderId="1" xfId="0" applyFont="1" applyBorder="1" applyAlignment="1"/>
    <xf numFmtId="0" fontId="0" fillId="0" borderId="0" xfId="0" applyBorder="1" applyAlignment="1"/>
    <xf numFmtId="0" fontId="0" fillId="0" borderId="1" xfId="0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protection hidden="1"/>
    </xf>
    <xf numFmtId="0" fontId="45" fillId="2" borderId="0" xfId="0" applyFont="1" applyFill="1" applyProtection="1"/>
    <xf numFmtId="0" fontId="51" fillId="0" borderId="0" xfId="0" applyFont="1" applyFill="1" applyBorder="1" applyAlignment="1" applyProtection="1">
      <alignment horizontal="center" vertical="center"/>
    </xf>
    <xf numFmtId="0" fontId="51" fillId="2" borderId="0" xfId="0" applyFont="1" applyFill="1" applyAlignment="1" applyProtection="1">
      <alignment vertical="center"/>
    </xf>
    <xf numFmtId="0" fontId="61" fillId="2" borderId="0" xfId="0" applyFont="1" applyFill="1" applyBorder="1" applyProtection="1"/>
    <xf numFmtId="0" fontId="0" fillId="0" borderId="0" xfId="0" applyProtection="1"/>
    <xf numFmtId="0" fontId="50" fillId="10" borderId="66" xfId="0" applyFont="1" applyFill="1" applyBorder="1" applyAlignment="1" applyProtection="1">
      <alignment horizontal="center" vertical="center" wrapText="1"/>
    </xf>
    <xf numFmtId="0" fontId="50" fillId="10" borderId="67" xfId="0" applyFont="1" applyFill="1" applyBorder="1" applyAlignment="1" applyProtection="1">
      <alignment horizontal="center" vertical="center" wrapText="1"/>
    </xf>
    <xf numFmtId="0" fontId="45" fillId="2" borderId="0" xfId="0" applyFont="1" applyFill="1" applyBorder="1" applyAlignment="1" applyProtection="1">
      <alignment horizontal="center" vertical="center"/>
    </xf>
    <xf numFmtId="0" fontId="45" fillId="2" borderId="0" xfId="0" applyFont="1" applyFill="1" applyBorder="1" applyAlignment="1" applyProtection="1">
      <alignment horizontal="center" vertical="center" wrapText="1"/>
    </xf>
    <xf numFmtId="0" fontId="45" fillId="2" borderId="69" xfId="0" applyFont="1" applyFill="1" applyBorder="1" applyAlignment="1" applyProtection="1">
      <alignment horizontal="left" vertical="center"/>
      <protection hidden="1"/>
    </xf>
    <xf numFmtId="0" fontId="13" fillId="2" borderId="70" xfId="0" applyFont="1" applyFill="1" applyBorder="1" applyAlignment="1" applyProtection="1">
      <alignment horizontal="left" vertical="center" wrapText="1"/>
      <protection hidden="1"/>
    </xf>
    <xf numFmtId="0" fontId="45" fillId="2" borderId="70" xfId="0" applyFont="1" applyFill="1" applyBorder="1" applyAlignment="1" applyProtection="1">
      <alignment horizontal="center" vertical="center"/>
      <protection hidden="1"/>
    </xf>
    <xf numFmtId="4" fontId="45" fillId="0" borderId="71" xfId="0" applyNumberFormat="1" applyFont="1" applyFill="1" applyBorder="1" applyAlignment="1" applyProtection="1">
      <alignment vertical="center"/>
      <protection locked="0"/>
    </xf>
    <xf numFmtId="4" fontId="45" fillId="0" borderId="71" xfId="0" applyNumberFormat="1" applyFont="1" applyFill="1" applyBorder="1" applyAlignment="1" applyProtection="1">
      <alignment horizontal="center" vertical="center"/>
      <protection locked="0"/>
    </xf>
    <xf numFmtId="0" fontId="48" fillId="2" borderId="69" xfId="0" quotePrefix="1" applyFont="1" applyFill="1" applyBorder="1" applyAlignment="1" applyProtection="1">
      <alignment horizontal="left" vertical="center"/>
      <protection hidden="1"/>
    </xf>
    <xf numFmtId="0" fontId="52" fillId="2" borderId="70" xfId="0" applyFont="1" applyFill="1" applyBorder="1" applyAlignment="1" applyProtection="1">
      <alignment horizontal="left" vertical="center" wrapText="1"/>
      <protection hidden="1"/>
    </xf>
    <xf numFmtId="0" fontId="48" fillId="2" borderId="70" xfId="0" applyFont="1" applyFill="1" applyBorder="1" applyAlignment="1" applyProtection="1">
      <alignment horizontal="center" vertical="center" wrapText="1"/>
      <protection hidden="1"/>
    </xf>
    <xf numFmtId="0" fontId="52" fillId="0" borderId="0" xfId="7" applyFont="1" applyFill="1" applyBorder="1" applyAlignment="1">
      <alignment horizontal="center" vertical="center" wrapText="1"/>
    </xf>
    <xf numFmtId="0" fontId="48" fillId="2" borderId="69" xfId="0" quotePrefix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/>
    <xf numFmtId="0" fontId="48" fillId="2" borderId="74" xfId="0" quotePrefix="1" applyFont="1" applyFill="1" applyBorder="1" applyAlignment="1" applyProtection="1">
      <alignment horizontal="left" vertical="center"/>
      <protection hidden="1"/>
    </xf>
    <xf numFmtId="0" fontId="52" fillId="2" borderId="62" xfId="0" applyFont="1" applyFill="1" applyBorder="1" applyAlignment="1" applyProtection="1">
      <alignment vertical="center" wrapText="1"/>
      <protection hidden="1"/>
    </xf>
    <xf numFmtId="0" fontId="45" fillId="2" borderId="75" xfId="0" applyFont="1" applyFill="1" applyBorder="1" applyAlignment="1" applyProtection="1">
      <alignment horizontal="center" vertical="center"/>
      <protection hidden="1"/>
    </xf>
    <xf numFmtId="4" fontId="45" fillId="0" borderId="76" xfId="0" applyNumberFormat="1" applyFont="1" applyFill="1" applyBorder="1" applyAlignment="1" applyProtection="1">
      <alignment vertical="center"/>
      <protection locked="0"/>
    </xf>
    <xf numFmtId="4" fontId="45" fillId="0" borderId="76" xfId="0" applyNumberFormat="1" applyFont="1" applyFill="1" applyBorder="1" applyAlignment="1" applyProtection="1">
      <alignment horizontal="center" vertical="center"/>
      <protection locked="0"/>
    </xf>
    <xf numFmtId="0" fontId="62" fillId="2" borderId="0" xfId="0" applyFont="1" applyFill="1" applyBorder="1" applyProtection="1"/>
    <xf numFmtId="3" fontId="45" fillId="2" borderId="0" xfId="0" applyNumberFormat="1" applyFont="1" applyFill="1" applyBorder="1" applyProtection="1"/>
    <xf numFmtId="167" fontId="0" fillId="15" borderId="45" xfId="0" applyNumberFormat="1" applyFill="1" applyBorder="1" applyAlignment="1" applyProtection="1">
      <alignment horizontal="center" vertical="center"/>
      <protection hidden="1"/>
    </xf>
    <xf numFmtId="0" fontId="6" fillId="2" borderId="43" xfId="0" applyFont="1" applyFill="1" applyBorder="1" applyAlignment="1" applyProtection="1">
      <alignment horizontal="center" vertical="center" wrapText="1"/>
      <protection hidden="1"/>
    </xf>
    <xf numFmtId="0" fontId="0" fillId="15" borderId="29" xfId="0" applyFill="1" applyBorder="1" applyAlignment="1" applyProtection="1">
      <alignment horizontal="center" vertical="center"/>
      <protection hidden="1"/>
    </xf>
    <xf numFmtId="0" fontId="21" fillId="15" borderId="37" xfId="0" applyFont="1" applyFill="1" applyBorder="1" applyAlignment="1" applyProtection="1">
      <alignment horizontal="center" vertical="center" wrapText="1"/>
      <protection hidden="1"/>
    </xf>
    <xf numFmtId="167" fontId="0" fillId="15" borderId="18" xfId="0" applyNumberFormat="1" applyFill="1" applyBorder="1" applyAlignment="1" applyProtection="1">
      <alignment horizontal="center" vertical="center"/>
      <protection hidden="1"/>
    </xf>
    <xf numFmtId="4" fontId="0" fillId="15" borderId="23" xfId="0" applyNumberFormat="1" applyFill="1" applyBorder="1" applyAlignment="1" applyProtection="1">
      <alignment horizontal="center" vertical="center"/>
      <protection hidden="1"/>
    </xf>
    <xf numFmtId="4" fontId="0" fillId="15" borderId="13" xfId="0" applyNumberFormat="1" applyFill="1" applyBorder="1" applyAlignment="1" applyProtection="1">
      <alignment horizontal="center" vertical="center"/>
      <protection hidden="1"/>
    </xf>
    <xf numFmtId="4" fontId="0" fillId="15" borderId="51" xfId="0" applyNumberFormat="1" applyFill="1" applyBorder="1" applyAlignment="1" applyProtection="1">
      <alignment horizontal="center" vertical="center"/>
      <protection hidden="1"/>
    </xf>
    <xf numFmtId="4" fontId="0" fillId="15" borderId="46" xfId="0" applyNumberFormat="1" applyFill="1" applyBorder="1" applyAlignment="1" applyProtection="1">
      <alignment horizontal="center" vertical="center"/>
      <protection hidden="1"/>
    </xf>
    <xf numFmtId="0" fontId="0" fillId="2" borderId="5" xfId="0" applyFill="1" applyBorder="1" applyProtection="1">
      <protection hidden="1"/>
    </xf>
    <xf numFmtId="0" fontId="6" fillId="9" borderId="37" xfId="0" applyFont="1" applyFill="1" applyBorder="1" applyAlignment="1" applyProtection="1">
      <alignment horizontal="center" vertical="center" wrapText="1"/>
      <protection hidden="1"/>
    </xf>
    <xf numFmtId="167" fontId="0" fillId="9" borderId="18" xfId="0" applyNumberFormat="1" applyFill="1" applyBorder="1" applyAlignment="1" applyProtection="1">
      <alignment horizontal="center" vertical="center"/>
      <protection hidden="1"/>
    </xf>
    <xf numFmtId="167" fontId="0" fillId="12" borderId="3" xfId="0" applyNumberFormat="1" applyFill="1" applyBorder="1" applyAlignment="1" applyProtection="1">
      <alignment horizontal="center" vertical="center"/>
      <protection hidden="1"/>
    </xf>
    <xf numFmtId="3" fontId="3" fillId="5" borderId="30" xfId="1" applyNumberFormat="1" applyFont="1" applyFill="1" applyBorder="1" applyAlignment="1" applyProtection="1">
      <alignment horizontal="center" vertical="center"/>
      <protection hidden="1"/>
    </xf>
    <xf numFmtId="167" fontId="3" fillId="5" borderId="39" xfId="1" applyNumberFormat="1" applyFont="1" applyFill="1" applyBorder="1" applyAlignment="1" applyProtection="1">
      <alignment horizontal="center" vertical="center"/>
      <protection hidden="1"/>
    </xf>
    <xf numFmtId="167" fontId="3" fillId="5" borderId="40" xfId="1" applyNumberFormat="1" applyFont="1" applyFill="1" applyBorder="1" applyAlignment="1" applyProtection="1">
      <alignment horizontal="center" vertical="center"/>
      <protection hidden="1"/>
    </xf>
    <xf numFmtId="4" fontId="0" fillId="5" borderId="40" xfId="0" applyNumberFormat="1" applyFill="1" applyBorder="1" applyAlignment="1" applyProtection="1">
      <alignment horizontal="center" vertical="center"/>
      <protection hidden="1"/>
    </xf>
    <xf numFmtId="167" fontId="0" fillId="5" borderId="30" xfId="0" applyNumberFormat="1" applyFill="1" applyBorder="1" applyAlignment="1" applyProtection="1">
      <alignment horizontal="center" vertical="center"/>
      <protection hidden="1"/>
    </xf>
    <xf numFmtId="167" fontId="0" fillId="5" borderId="40" xfId="0" applyNumberFormat="1" applyFill="1" applyBorder="1" applyAlignment="1" applyProtection="1">
      <alignment horizontal="center" vertical="center"/>
      <protection hidden="1"/>
    </xf>
    <xf numFmtId="164" fontId="0" fillId="5" borderId="40" xfId="2" applyNumberFormat="1" applyFont="1" applyFill="1" applyBorder="1" applyAlignment="1" applyProtection="1">
      <alignment horizontal="center" vertical="center"/>
      <protection hidden="1"/>
    </xf>
    <xf numFmtId="4" fontId="3" fillId="5" borderId="40" xfId="1" applyNumberFormat="1" applyFont="1" applyFill="1" applyBorder="1" applyAlignment="1" applyProtection="1">
      <alignment horizontal="center" vertical="center"/>
      <protection hidden="1"/>
    </xf>
    <xf numFmtId="167" fontId="3" fillId="5" borderId="26" xfId="1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1" fontId="0" fillId="0" borderId="1" xfId="0" applyNumberForma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3" fontId="3" fillId="0" borderId="1" xfId="1" applyNumberFormat="1" applyFont="1" applyFill="1" applyBorder="1" applyAlignment="1" applyProtection="1">
      <alignment horizontal="center" vertical="center"/>
      <protection hidden="1"/>
    </xf>
    <xf numFmtId="3" fontId="3" fillId="0" borderId="0" xfId="1" applyNumberFormat="1" applyFont="1" applyFill="1" applyBorder="1" applyAlignment="1" applyProtection="1">
      <alignment horizontal="center" vertical="center"/>
      <protection hidden="1"/>
    </xf>
    <xf numFmtId="0" fontId="6" fillId="9" borderId="11" xfId="0" applyFont="1" applyFill="1" applyBorder="1" applyAlignment="1" applyProtection="1">
      <alignment horizontal="center" vertical="center" wrapText="1"/>
      <protection hidden="1"/>
    </xf>
    <xf numFmtId="0" fontId="6" fillId="0" borderId="57" xfId="0" applyFont="1" applyFill="1" applyBorder="1" applyAlignment="1" applyProtection="1">
      <alignment horizontal="center" vertical="center" wrapText="1"/>
      <protection hidden="1"/>
    </xf>
    <xf numFmtId="0" fontId="6" fillId="9" borderId="12" xfId="0" applyFont="1" applyFill="1" applyBorder="1" applyAlignment="1" applyProtection="1">
      <alignment horizontal="center" vertical="center" wrapText="1"/>
      <protection hidden="1"/>
    </xf>
    <xf numFmtId="167" fontId="0" fillId="9" borderId="13" xfId="0" applyNumberFormat="1" applyFill="1" applyBorder="1" applyAlignment="1" applyProtection="1">
      <alignment horizontal="center" vertical="center"/>
      <protection hidden="1"/>
    </xf>
    <xf numFmtId="0" fontId="6" fillId="15" borderId="65" xfId="0" applyFont="1" applyFill="1" applyBorder="1" applyAlignment="1" applyProtection="1">
      <alignment horizontal="center" vertical="center" wrapText="1"/>
      <protection hidden="1"/>
    </xf>
    <xf numFmtId="0" fontId="6" fillId="9" borderId="52" xfId="0" applyFont="1" applyFill="1" applyBorder="1" applyAlignment="1" applyProtection="1">
      <alignment horizontal="center" vertical="center" wrapText="1"/>
      <protection hidden="1"/>
    </xf>
    <xf numFmtId="167" fontId="3" fillId="17" borderId="51" xfId="1" applyNumberFormat="1" applyFont="1" applyFill="1" applyBorder="1" applyAlignment="1" applyProtection="1">
      <alignment horizontal="center" vertical="center"/>
      <protection locked="0"/>
    </xf>
    <xf numFmtId="167" fontId="0" fillId="9" borderId="46" xfId="0" applyNumberFormat="1" applyFill="1" applyBorder="1" applyAlignment="1" applyProtection="1">
      <alignment horizontal="center" vertical="center"/>
      <protection hidden="1"/>
    </xf>
    <xf numFmtId="167" fontId="3" fillId="13" borderId="39" xfId="1" applyNumberFormat="1" applyFont="1" applyFill="1" applyBorder="1" applyAlignment="1" applyProtection="1">
      <alignment horizontal="center" vertical="center"/>
      <protection hidden="1"/>
    </xf>
    <xf numFmtId="167" fontId="3" fillId="13" borderId="40" xfId="1" applyNumberFormat="1" applyFont="1" applyFill="1" applyBorder="1" applyAlignment="1" applyProtection="1">
      <alignment horizontal="center" vertical="center"/>
      <protection hidden="1"/>
    </xf>
    <xf numFmtId="167" fontId="3" fillId="13" borderId="30" xfId="1" applyNumberFormat="1" applyFont="1" applyFill="1" applyBorder="1" applyAlignment="1" applyProtection="1">
      <alignment horizontal="center" vertical="center"/>
      <protection hidden="1"/>
    </xf>
    <xf numFmtId="166" fontId="3" fillId="17" borderId="51" xfId="1" applyNumberFormat="1" applyFont="1" applyFill="1" applyBorder="1" applyAlignment="1" applyProtection="1">
      <alignment horizontal="center" vertical="center"/>
      <protection locked="0"/>
    </xf>
    <xf numFmtId="167" fontId="0" fillId="10" borderId="22" xfId="0" applyNumberFormat="1" applyFill="1" applyBorder="1" applyAlignment="1" applyProtection="1">
      <alignment horizontal="center" vertical="center"/>
      <protection hidden="1"/>
    </xf>
    <xf numFmtId="167" fontId="0" fillId="10" borderId="26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0" fillId="0" borderId="9" xfId="0" applyFill="1" applyBorder="1" applyAlignment="1" applyProtection="1">
      <protection hidden="1"/>
    </xf>
    <xf numFmtId="167" fontId="0" fillId="12" borderId="11" xfId="0" applyNumberFormat="1" applyFill="1" applyBorder="1" applyAlignment="1" applyProtection="1">
      <alignment horizontal="center" vertical="center"/>
      <protection hidden="1"/>
    </xf>
    <xf numFmtId="167" fontId="0" fillId="12" borderId="12" xfId="0" applyNumberFormat="1" applyFill="1" applyBorder="1" applyAlignment="1" applyProtection="1">
      <alignment horizontal="center" vertical="center"/>
      <protection hidden="1"/>
    </xf>
    <xf numFmtId="167" fontId="0" fillId="12" borderId="13" xfId="0" applyNumberFormat="1" applyFill="1" applyBorder="1" applyAlignment="1" applyProtection="1">
      <alignment horizontal="center" vertical="center"/>
      <protection hidden="1"/>
    </xf>
    <xf numFmtId="167" fontId="0" fillId="12" borderId="14" xfId="0" applyNumberFormat="1" applyFill="1" applyBorder="1" applyAlignment="1" applyProtection="1">
      <alignment horizontal="center" vertical="center"/>
      <protection hidden="1"/>
    </xf>
    <xf numFmtId="167" fontId="0" fillId="12" borderId="25" xfId="0" applyNumberFormat="1" applyFill="1" applyBorder="1" applyAlignment="1" applyProtection="1">
      <alignment horizontal="center" vertical="center"/>
      <protection hidden="1"/>
    </xf>
    <xf numFmtId="167" fontId="0" fillId="12" borderId="58" xfId="0" applyNumberFormat="1" applyFill="1" applyBorder="1" applyAlignment="1" applyProtection="1">
      <alignment horizontal="center" vertical="center"/>
      <protection hidden="1"/>
    </xf>
    <xf numFmtId="167" fontId="0" fillId="12" borderId="20" xfId="0" applyNumberFormat="1" applyFill="1" applyBorder="1" applyAlignment="1" applyProtection="1">
      <alignment horizontal="center" vertical="center"/>
      <protection hidden="1"/>
    </xf>
    <xf numFmtId="167" fontId="0" fillId="12" borderId="38" xfId="0" applyNumberFormat="1" applyFill="1" applyBorder="1" applyAlignment="1" applyProtection="1">
      <alignment horizontal="center" vertical="center"/>
      <protection hidden="1"/>
    </xf>
    <xf numFmtId="0" fontId="38" fillId="2" borderId="5" xfId="0" applyFont="1" applyFill="1" applyBorder="1" applyAlignment="1" applyProtection="1">
      <alignment horizontal="center" vertical="center"/>
      <protection hidden="1"/>
    </xf>
    <xf numFmtId="0" fontId="38" fillId="2" borderId="8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protection hidden="1"/>
    </xf>
    <xf numFmtId="3" fontId="0" fillId="0" borderId="0" xfId="0" quotePrefix="1" applyNumberFormat="1" applyFill="1" applyBorder="1" applyAlignment="1" applyProtection="1">
      <protection hidden="1"/>
    </xf>
    <xf numFmtId="0" fontId="0" fillId="0" borderId="5" xfId="0" applyFill="1" applyBorder="1" applyAlignment="1" applyProtection="1">
      <protection hidden="1"/>
    </xf>
    <xf numFmtId="0" fontId="9" fillId="0" borderId="5" xfId="0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167" fontId="14" fillId="15" borderId="0" xfId="1" applyNumberFormat="1" applyFont="1" applyFill="1" applyBorder="1" applyAlignment="1" applyProtection="1">
      <alignment horizontal="center" vertical="center"/>
      <protection hidden="1"/>
    </xf>
    <xf numFmtId="0" fontId="15" fillId="11" borderId="80" xfId="0" applyFont="1" applyFill="1" applyBorder="1" applyAlignment="1" applyProtection="1">
      <alignment horizontal="center" vertical="center"/>
      <protection hidden="1"/>
    </xf>
    <xf numFmtId="167" fontId="14" fillId="2" borderId="24" xfId="1" applyNumberFormat="1" applyFont="1" applyFill="1" applyBorder="1" applyAlignment="1" applyProtection="1">
      <alignment horizontal="center" vertical="center"/>
      <protection hidden="1"/>
    </xf>
    <xf numFmtId="167" fontId="14" fillId="15" borderId="24" xfId="1" applyNumberFormat="1" applyFont="1" applyFill="1" applyBorder="1" applyAlignment="1" applyProtection="1">
      <alignment horizontal="center" vertical="center"/>
      <protection hidden="1"/>
    </xf>
    <xf numFmtId="167" fontId="14" fillId="15" borderId="14" xfId="1" applyNumberFormat="1" applyFont="1" applyFill="1" applyBorder="1" applyAlignment="1" applyProtection="1">
      <alignment horizontal="center" vertical="center"/>
      <protection hidden="1"/>
    </xf>
    <xf numFmtId="2" fontId="14" fillId="15" borderId="14" xfId="0" applyNumberFormat="1" applyFont="1" applyFill="1" applyBorder="1" applyAlignment="1" applyProtection="1">
      <alignment horizontal="center" vertical="center"/>
      <protection hidden="1"/>
    </xf>
    <xf numFmtId="164" fontId="14" fillId="15" borderId="25" xfId="0" applyNumberFormat="1" applyFont="1" applyFill="1" applyBorder="1" applyAlignment="1" applyProtection="1">
      <alignment horizontal="center" vertical="center"/>
      <protection hidden="1"/>
    </xf>
    <xf numFmtId="164" fontId="5" fillId="18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17" borderId="60" xfId="0" applyFill="1" applyBorder="1" applyAlignment="1" applyProtection="1">
      <alignment horizontal="center" vertical="center" wrapText="1"/>
      <protection locked="0"/>
    </xf>
    <xf numFmtId="0" fontId="0" fillId="17" borderId="59" xfId="0" applyFill="1" applyBorder="1" applyAlignment="1" applyProtection="1">
      <alignment horizontal="left" vertical="center" wrapText="1"/>
      <protection locked="0"/>
    </xf>
    <xf numFmtId="167" fontId="3" fillId="17" borderId="48" xfId="1" applyNumberFormat="1" applyFont="1" applyFill="1" applyBorder="1" applyAlignment="1" applyProtection="1">
      <alignment horizontal="center" vertical="center"/>
      <protection locked="0"/>
    </xf>
    <xf numFmtId="167" fontId="0" fillId="9" borderId="49" xfId="0" applyNumberFormat="1" applyFill="1" applyBorder="1" applyAlignment="1" applyProtection="1">
      <alignment horizontal="center" vertical="center"/>
      <protection hidden="1"/>
    </xf>
    <xf numFmtId="0" fontId="6" fillId="0" borderId="55" xfId="0" applyFont="1" applyFill="1" applyBorder="1" applyAlignment="1" applyProtection="1">
      <alignment horizontal="center" vertical="center" wrapText="1"/>
      <protection hidden="1"/>
    </xf>
    <xf numFmtId="0" fontId="6" fillId="0" borderId="57" xfId="0" applyFont="1" applyBorder="1" applyAlignment="1" applyProtection="1">
      <alignment horizontal="center" vertical="center" wrapText="1"/>
      <protection hidden="1"/>
    </xf>
    <xf numFmtId="0" fontId="6" fillId="9" borderId="30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left" vertical="center" wrapText="1"/>
      <protection hidden="1"/>
    </xf>
    <xf numFmtId="0" fontId="1" fillId="0" borderId="16" xfId="0" applyFont="1" applyBorder="1" applyAlignment="1" applyProtection="1">
      <alignment vertical="center" wrapText="1"/>
      <protection hidden="1"/>
    </xf>
    <xf numFmtId="14" fontId="8" fillId="17" borderId="47" xfId="0" applyNumberFormat="1" applyFont="1" applyFill="1" applyBorder="1" applyAlignment="1" applyProtection="1">
      <alignment horizontal="center" vertical="center"/>
      <protection locked="0"/>
    </xf>
    <xf numFmtId="164" fontId="0" fillId="15" borderId="26" xfId="2" applyNumberFormat="1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4" borderId="58" xfId="0" applyFill="1" applyBorder="1" applyAlignment="1" applyProtection="1">
      <alignment horizontal="center" wrapText="1"/>
      <protection hidden="1"/>
    </xf>
    <xf numFmtId="3" fontId="0" fillId="15" borderId="20" xfId="0" applyNumberFormat="1" applyFill="1" applyBorder="1" applyAlignment="1" applyProtection="1">
      <protection hidden="1"/>
    </xf>
    <xf numFmtId="3" fontId="9" fillId="15" borderId="38" xfId="0" applyNumberFormat="1" applyFont="1" applyFill="1" applyBorder="1" applyAlignment="1" applyProtection="1">
      <protection hidden="1"/>
    </xf>
    <xf numFmtId="3" fontId="0" fillId="15" borderId="13" xfId="0" applyNumberFormat="1" applyFill="1" applyBorder="1" applyAlignment="1" applyProtection="1">
      <protection hidden="1"/>
    </xf>
    <xf numFmtId="3" fontId="9" fillId="15" borderId="25" xfId="0" applyNumberFormat="1" applyFont="1" applyFill="1" applyBorder="1" applyAlignment="1" applyProtection="1">
      <protection hidden="1"/>
    </xf>
    <xf numFmtId="0" fontId="45" fillId="2" borderId="40" xfId="0" applyFont="1" applyFill="1" applyBorder="1" applyAlignment="1" applyProtection="1">
      <alignment horizontal="center" vertical="center"/>
      <protection hidden="1"/>
    </xf>
    <xf numFmtId="3" fontId="48" fillId="12" borderId="30" xfId="0" applyNumberFormat="1" applyFont="1" applyFill="1" applyBorder="1" applyAlignment="1" applyProtection="1">
      <alignment horizontal="center" vertical="center"/>
      <protection hidden="1"/>
    </xf>
    <xf numFmtId="3" fontId="45" fillId="12" borderId="70" xfId="0" applyNumberFormat="1" applyFont="1" applyFill="1" applyBorder="1" applyAlignment="1" applyProtection="1">
      <alignment horizontal="right" vertical="center"/>
      <protection hidden="1"/>
    </xf>
    <xf numFmtId="3" fontId="45" fillId="12" borderId="75" xfId="0" applyNumberFormat="1" applyFont="1" applyFill="1" applyBorder="1" applyAlignment="1" applyProtection="1">
      <alignment horizontal="right" vertical="center"/>
      <protection hidden="1"/>
    </xf>
    <xf numFmtId="3" fontId="0" fillId="5" borderId="39" xfId="3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20" fillId="12" borderId="0" xfId="0" applyFont="1" applyFill="1" applyBorder="1" applyAlignment="1" applyProtection="1">
      <alignment horizontal="left" vertical="center" wrapText="1"/>
      <protection hidden="1"/>
    </xf>
    <xf numFmtId="0" fontId="0" fillId="17" borderId="3" xfId="0" applyFont="1" applyFill="1" applyBorder="1" applyAlignment="1" applyProtection="1">
      <alignment horizontal="left" vertical="center" wrapText="1"/>
      <protection locked="0"/>
    </xf>
    <xf numFmtId="0" fontId="0" fillId="17" borderId="14" xfId="0" applyFont="1" applyFill="1" applyBorder="1" applyAlignment="1" applyProtection="1">
      <alignment horizontal="left" vertical="center" wrapText="1"/>
      <protection locked="0"/>
    </xf>
    <xf numFmtId="44" fontId="3" fillId="15" borderId="26" xfId="1" applyNumberFormat="1" applyFont="1" applyFill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left" vertical="center"/>
      <protection hidden="1"/>
    </xf>
    <xf numFmtId="44" fontId="14" fillId="15" borderId="13" xfId="1" applyFont="1" applyFill="1" applyBorder="1" applyAlignment="1" applyProtection="1">
      <alignment vertical="center"/>
      <protection hidden="1"/>
    </xf>
    <xf numFmtId="167" fontId="0" fillId="17" borderId="23" xfId="1" applyNumberFormat="1" applyFont="1" applyFill="1" applyBorder="1" applyAlignment="1" applyProtection="1">
      <alignment horizontal="center" vertical="center"/>
      <protection locked="0"/>
    </xf>
    <xf numFmtId="9" fontId="0" fillId="0" borderId="15" xfId="0" applyNumberFormat="1" applyBorder="1" applyAlignment="1" applyProtection="1">
      <alignment horizontal="right" wrapText="1"/>
      <protection hidden="1"/>
    </xf>
    <xf numFmtId="9" fontId="0" fillId="0" borderId="15" xfId="0" applyNumberFormat="1" applyBorder="1" applyProtection="1">
      <protection hidden="1"/>
    </xf>
    <xf numFmtId="9" fontId="0" fillId="0" borderId="15" xfId="0" applyNumberFormat="1" applyBorder="1" applyAlignment="1" applyProtection="1">
      <alignment horizontal="right"/>
      <protection hidden="1"/>
    </xf>
    <xf numFmtId="0" fontId="6" fillId="2" borderId="81" xfId="0" applyFont="1" applyFill="1" applyBorder="1" applyAlignment="1" applyProtection="1">
      <alignment horizontal="center" vertical="center" wrapText="1"/>
      <protection hidden="1"/>
    </xf>
    <xf numFmtId="0" fontId="6" fillId="5" borderId="3" xfId="0" applyFont="1" applyFill="1" applyBorder="1" applyAlignment="1" applyProtection="1">
      <alignment horizontal="left" vertical="center" wrapText="1"/>
      <protection hidden="1"/>
    </xf>
    <xf numFmtId="0" fontId="6" fillId="5" borderId="3" xfId="0" applyFont="1" applyFill="1" applyBorder="1" applyAlignment="1" applyProtection="1">
      <alignment vertical="center" wrapText="1"/>
      <protection hidden="1"/>
    </xf>
    <xf numFmtId="0" fontId="6" fillId="5" borderId="23" xfId="0" applyFont="1" applyFill="1" applyBorder="1" applyAlignment="1" applyProtection="1">
      <alignment horizontal="left" vertical="center" wrapText="1"/>
      <protection hidden="1"/>
    </xf>
    <xf numFmtId="0" fontId="6" fillId="5" borderId="13" xfId="0" applyFont="1" applyFill="1" applyBorder="1" applyAlignment="1" applyProtection="1">
      <alignment vertical="center" wrapText="1"/>
      <protection hidden="1"/>
    </xf>
    <xf numFmtId="3" fontId="0" fillId="17" borderId="24" xfId="0" applyNumberFormat="1" applyFill="1" applyBorder="1" applyAlignment="1" applyProtection="1">
      <alignment horizontal="center" vertical="center"/>
      <protection locked="0"/>
    </xf>
    <xf numFmtId="4" fontId="0" fillId="15" borderId="14" xfId="0" applyNumberFormat="1" applyFill="1" applyBorder="1" applyAlignment="1" applyProtection="1">
      <alignment horizontal="center" vertical="center"/>
      <protection hidden="1"/>
    </xf>
    <xf numFmtId="167" fontId="0" fillId="15" borderId="25" xfId="0" applyNumberFormat="1" applyFill="1" applyBorder="1" applyAlignment="1" applyProtection="1">
      <alignment horizontal="center" vertical="center"/>
      <protection hidden="1"/>
    </xf>
    <xf numFmtId="0" fontId="6" fillId="2" borderId="47" xfId="0" applyFont="1" applyFill="1" applyBorder="1" applyAlignment="1" applyProtection="1">
      <alignment horizontal="center" vertical="center" wrapText="1"/>
      <protection hidden="1"/>
    </xf>
    <xf numFmtId="0" fontId="6" fillId="15" borderId="47" xfId="0" applyFont="1" applyFill="1" applyBorder="1" applyAlignment="1" applyProtection="1">
      <alignment horizontal="center" vertical="center" wrapText="1"/>
      <protection hidden="1"/>
    </xf>
    <xf numFmtId="0" fontId="6" fillId="15" borderId="49" xfId="0" applyFont="1" applyFill="1" applyBorder="1" applyAlignment="1" applyProtection="1">
      <alignment horizontal="center" vertical="center" wrapText="1"/>
      <protection hidden="1"/>
    </xf>
    <xf numFmtId="0" fontId="6" fillId="2" borderId="40" xfId="0" applyFont="1" applyFill="1" applyBorder="1" applyAlignment="1" applyProtection="1">
      <alignment horizontal="center" vertical="center" wrapText="1"/>
      <protection hidden="1"/>
    </xf>
    <xf numFmtId="0" fontId="21" fillId="15" borderId="30" xfId="0" applyFont="1" applyFill="1" applyBorder="1" applyAlignment="1" applyProtection="1">
      <alignment horizontal="center" vertical="center" wrapText="1"/>
      <protection hidden="1"/>
    </xf>
    <xf numFmtId="3" fontId="0" fillId="17" borderId="10" xfId="0" applyNumberFormat="1" applyFill="1" applyBorder="1" applyAlignment="1" applyProtection="1">
      <alignment horizontal="center" vertical="center"/>
      <protection locked="0"/>
    </xf>
    <xf numFmtId="3" fontId="0" fillId="5" borderId="40" xfId="3" applyNumberFormat="1" applyFont="1" applyFill="1" applyBorder="1" applyAlignment="1" applyProtection="1">
      <alignment horizontal="center" vertical="center"/>
      <protection hidden="1"/>
    </xf>
    <xf numFmtId="3" fontId="0" fillId="5" borderId="55" xfId="3" applyNumberFormat="1" applyFont="1" applyFill="1" applyBorder="1" applyAlignment="1" applyProtection="1">
      <alignment horizontal="center" vertical="center"/>
      <protection hidden="1"/>
    </xf>
    <xf numFmtId="167" fontId="0" fillId="15" borderId="54" xfId="0" applyNumberFormat="1" applyFill="1" applyBorder="1" applyAlignment="1" applyProtection="1">
      <alignment horizontal="center" vertical="center"/>
      <protection hidden="1"/>
    </xf>
    <xf numFmtId="0" fontId="6" fillId="15" borderId="26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5" fillId="12" borderId="0" xfId="0" applyFont="1" applyFill="1" applyBorder="1" applyAlignment="1" applyProtection="1">
      <alignment horizontal="center" wrapText="1"/>
      <protection hidden="1"/>
    </xf>
    <xf numFmtId="167" fontId="0" fillId="12" borderId="0" xfId="0" applyNumberFormat="1" applyFont="1" applyFill="1" applyBorder="1" applyAlignment="1" applyProtection="1">
      <alignment horizontal="center"/>
      <protection hidden="1"/>
    </xf>
    <xf numFmtId="0" fontId="0" fillId="12" borderId="0" xfId="0" applyFill="1" applyBorder="1" applyAlignment="1" applyProtection="1">
      <alignment horizontal="center"/>
      <protection hidden="1"/>
    </xf>
    <xf numFmtId="167" fontId="0" fillId="0" borderId="0" xfId="0" applyNumberFormat="1" applyFont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12" borderId="0" xfId="0" applyFont="1" applyFill="1" applyBorder="1" applyAlignment="1" applyProtection="1">
      <alignment horizontal="center"/>
      <protection hidden="1"/>
    </xf>
    <xf numFmtId="167" fontId="0" fillId="2" borderId="0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Border="1" applyAlignment="1" applyProtection="1">
      <alignment horizontal="center"/>
      <protection hidden="1"/>
    </xf>
    <xf numFmtId="3" fontId="0" fillId="2" borderId="0" xfId="0" applyNumberFormat="1" applyFont="1" applyFill="1" applyBorder="1" applyAlignment="1" applyProtection="1">
      <alignment horizontal="center"/>
      <protection hidden="1"/>
    </xf>
    <xf numFmtId="3" fontId="5" fillId="2" borderId="0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3" fontId="0" fillId="12" borderId="0" xfId="0" applyNumberFormat="1" applyFont="1" applyFill="1" applyBorder="1" applyAlignment="1" applyProtection="1">
      <alignment horizontal="center"/>
      <protection hidden="1"/>
    </xf>
    <xf numFmtId="3" fontId="5" fillId="12" borderId="0" xfId="0" applyNumberFormat="1" applyFont="1" applyFill="1" applyBorder="1" applyAlignment="1" applyProtection="1">
      <alignment horizontal="center"/>
      <protection hidden="1"/>
    </xf>
    <xf numFmtId="3" fontId="5" fillId="12" borderId="0" xfId="0" applyNumberFormat="1" applyFont="1" applyFill="1" applyBorder="1" applyAlignment="1" applyProtection="1">
      <alignment horizontal="center" wrapText="1"/>
      <protection hidden="1"/>
    </xf>
    <xf numFmtId="0" fontId="0" fillId="1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0" fillId="12" borderId="1" xfId="0" applyFont="1" applyFill="1" applyBorder="1" applyAlignment="1" applyProtection="1">
      <alignment horizontal="center"/>
      <protection hidden="1"/>
    </xf>
    <xf numFmtId="0" fontId="0" fillId="12" borderId="1" xfId="0" applyFill="1" applyBorder="1" applyAlignment="1" applyProtection="1">
      <alignment horizontal="center" wrapText="1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167" fontId="3" fillId="17" borderId="45" xfId="1" applyNumberFormat="1" applyFont="1" applyFill="1" applyBorder="1" applyAlignment="1" applyProtection="1">
      <alignment horizontal="center" vertical="center"/>
      <protection locked="0"/>
    </xf>
    <xf numFmtId="4" fontId="3" fillId="5" borderId="57" xfId="1" applyNumberFormat="1" applyFont="1" applyFill="1" applyBorder="1" applyAlignment="1" applyProtection="1">
      <alignment horizontal="center" vertical="center"/>
      <protection hidden="1"/>
    </xf>
    <xf numFmtId="167" fontId="3" fillId="5" borderId="30" xfId="1" applyNumberFormat="1" applyFont="1" applyFill="1" applyBorder="1" applyAlignment="1" applyProtection="1">
      <alignment horizontal="center" vertical="center"/>
      <protection hidden="1"/>
    </xf>
    <xf numFmtId="0" fontId="67" fillId="2" borderId="82" xfId="8" applyFont="1" applyFill="1" applyBorder="1" applyAlignment="1" applyProtection="1">
      <alignment vertical="center" wrapText="1"/>
      <protection hidden="1"/>
    </xf>
    <xf numFmtId="0" fontId="67" fillId="2" borderId="83" xfId="8" applyFont="1" applyFill="1" applyBorder="1" applyAlignment="1" applyProtection="1">
      <alignment vertical="center" wrapText="1"/>
      <protection hidden="1"/>
    </xf>
    <xf numFmtId="0" fontId="67" fillId="2" borderId="84" xfId="8" applyFont="1" applyFill="1" applyBorder="1" applyAlignment="1" applyProtection="1">
      <alignment vertical="center" wrapText="1"/>
      <protection hidden="1"/>
    </xf>
    <xf numFmtId="0" fontId="68" fillId="19" borderId="0" xfId="8" applyFont="1" applyFill="1" applyBorder="1" applyAlignment="1" applyProtection="1">
      <alignment horizontal="center" vertical="center" wrapText="1"/>
      <protection hidden="1"/>
    </xf>
    <xf numFmtId="0" fontId="71" fillId="19" borderId="0" xfId="8" applyFont="1" applyFill="1" applyBorder="1" applyAlignment="1" applyProtection="1">
      <alignment vertical="center" wrapText="1"/>
      <protection hidden="1"/>
    </xf>
    <xf numFmtId="0" fontId="68" fillId="20" borderId="85" xfId="8" applyFont="1" applyFill="1" applyBorder="1" applyAlignment="1" applyProtection="1">
      <alignment horizontal="center" vertical="center" wrapText="1"/>
      <protection hidden="1"/>
    </xf>
    <xf numFmtId="0" fontId="68" fillId="20" borderId="86" xfId="8" applyFont="1" applyFill="1" applyBorder="1" applyAlignment="1" applyProtection="1">
      <alignment horizontal="center" vertical="center" wrapText="1"/>
      <protection hidden="1"/>
    </xf>
    <xf numFmtId="0" fontId="71" fillId="12" borderId="26" xfId="8" applyFont="1" applyFill="1" applyBorder="1" applyAlignment="1" applyProtection="1">
      <alignment vertical="center" wrapText="1"/>
      <protection hidden="1"/>
    </xf>
    <xf numFmtId="0" fontId="68" fillId="20" borderId="33" xfId="8" applyFont="1" applyFill="1" applyBorder="1" applyAlignment="1" applyProtection="1">
      <alignment horizontal="center" vertical="center" wrapText="1"/>
      <protection hidden="1"/>
    </xf>
    <xf numFmtId="0" fontId="68" fillId="20" borderId="80" xfId="8" applyFont="1" applyFill="1" applyBorder="1" applyAlignment="1" applyProtection="1">
      <alignment horizontal="center" vertical="center" wrapText="1"/>
      <protection hidden="1"/>
    </xf>
    <xf numFmtId="0" fontId="68" fillId="20" borderId="31" xfId="8" applyFont="1" applyFill="1" applyBorder="1" applyAlignment="1" applyProtection="1">
      <alignment horizontal="center" vertical="center" wrapText="1"/>
      <protection hidden="1"/>
    </xf>
    <xf numFmtId="0" fontId="71" fillId="12" borderId="26" xfId="8" applyFont="1" applyFill="1" applyBorder="1" applyAlignment="1" applyProtection="1">
      <alignment horizontal="center" vertical="center" wrapText="1"/>
      <protection hidden="1"/>
    </xf>
    <xf numFmtId="0" fontId="0" fillId="0" borderId="0" xfId="0" quotePrefix="1" applyProtection="1">
      <protection hidden="1"/>
    </xf>
    <xf numFmtId="2" fontId="39" fillId="15" borderId="9" xfId="0" applyNumberFormat="1" applyFont="1" applyFill="1" applyBorder="1" applyAlignment="1" applyProtection="1">
      <alignment horizontal="center" vertical="center"/>
      <protection hidden="1"/>
    </xf>
    <xf numFmtId="0" fontId="39" fillId="0" borderId="39" xfId="0" applyFont="1" applyFill="1" applyBorder="1" applyAlignment="1" applyProtection="1">
      <alignment horizontal="right" vertical="center"/>
      <protection hidden="1"/>
    </xf>
    <xf numFmtId="0" fontId="36" fillId="0" borderId="0" xfId="0" quotePrefix="1" applyFont="1" applyProtection="1">
      <protection hidden="1"/>
    </xf>
    <xf numFmtId="0" fontId="0" fillId="19" borderId="25" xfId="0" applyFill="1" applyBorder="1" applyAlignment="1" applyProtection="1">
      <alignment horizontal="center"/>
      <protection hidden="1"/>
    </xf>
    <xf numFmtId="0" fontId="0" fillId="19" borderId="24" xfId="0" applyFill="1" applyBorder="1" applyAlignment="1" applyProtection="1">
      <alignment horizontal="right" vertical="center" wrapText="1"/>
      <protection hidden="1"/>
    </xf>
    <xf numFmtId="0" fontId="0" fillId="15" borderId="13" xfId="0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right" vertical="center" wrapText="1"/>
      <protection hidden="1"/>
    </xf>
    <xf numFmtId="0" fontId="54" fillId="15" borderId="13" xfId="0" applyFont="1" applyFill="1" applyBorder="1" applyAlignment="1" applyProtection="1">
      <alignment horizontal="center"/>
      <protection hidden="1"/>
    </xf>
    <xf numFmtId="0" fontId="54" fillId="0" borderId="23" xfId="0" applyFont="1" applyBorder="1" applyAlignment="1" applyProtection="1">
      <alignment horizontal="right"/>
      <protection hidden="1"/>
    </xf>
    <xf numFmtId="164" fontId="5" fillId="15" borderId="30" xfId="0" applyNumberFormat="1" applyFont="1" applyFill="1" applyBorder="1" applyAlignment="1" applyProtection="1">
      <alignment horizontal="center" vertical="center"/>
      <protection hidden="1"/>
    </xf>
    <xf numFmtId="0" fontId="5" fillId="22" borderId="39" xfId="0" applyNumberFormat="1" applyFont="1" applyFill="1" applyBorder="1" applyAlignment="1" applyProtection="1">
      <alignment horizontal="center" vertical="center"/>
      <protection hidden="1"/>
    </xf>
    <xf numFmtId="0" fontId="5" fillId="6" borderId="26" xfId="0" applyFont="1" applyFill="1" applyBorder="1" applyAlignment="1" applyProtection="1">
      <alignment horizontal="center" vertical="center" wrapText="1"/>
      <protection hidden="1"/>
    </xf>
    <xf numFmtId="0" fontId="0" fillId="15" borderId="13" xfId="0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right"/>
      <protection hidden="1"/>
    </xf>
    <xf numFmtId="0" fontId="0" fillId="15" borderId="12" xfId="0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right" vertical="center"/>
      <protection hidden="1"/>
    </xf>
    <xf numFmtId="0" fontId="29" fillId="0" borderId="0" xfId="0" applyNumberFormat="1" applyFont="1" applyFill="1" applyBorder="1" applyAlignment="1" applyProtection="1">
      <alignment horizontal="center"/>
      <protection hidden="1"/>
    </xf>
    <xf numFmtId="167" fontId="39" fillId="15" borderId="26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172" fontId="0" fillId="0" borderId="0" xfId="0" applyNumberFormat="1" applyFill="1" applyBorder="1" applyAlignment="1" applyProtection="1">
      <alignment horizontal="center" vertical="center"/>
      <protection hidden="1"/>
    </xf>
    <xf numFmtId="172" fontId="3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vertical="center" wrapText="1"/>
      <protection hidden="1"/>
    </xf>
    <xf numFmtId="44" fontId="36" fillId="23" borderId="26" xfId="0" applyNumberFormat="1" applyFont="1" applyFill="1" applyBorder="1" applyAlignment="1" applyProtection="1">
      <alignment horizontal="right" vertical="center" wrapText="1"/>
      <protection hidden="1"/>
    </xf>
    <xf numFmtId="0" fontId="5" fillId="23" borderId="1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44" fontId="0" fillId="15" borderId="3" xfId="0" applyNumberFormat="1" applyFill="1" applyBorder="1" applyAlignment="1" applyProtection="1">
      <protection hidden="1"/>
    </xf>
    <xf numFmtId="0" fontId="5" fillId="24" borderId="16" xfId="0" applyFont="1" applyFill="1" applyBorder="1" applyAlignment="1" applyProtection="1">
      <alignment horizontal="center" vertical="center" wrapText="1"/>
      <protection hidden="1"/>
    </xf>
    <xf numFmtId="174" fontId="5" fillId="15" borderId="25" xfId="0" applyNumberFormat="1" applyFont="1" applyFill="1" applyBorder="1" applyAlignment="1" applyProtection="1">
      <alignment horizontal="center" vertical="center"/>
      <protection hidden="1"/>
    </xf>
    <xf numFmtId="168" fontId="5" fillId="15" borderId="14" xfId="0" applyNumberFormat="1" applyFont="1" applyFill="1" applyBorder="1" applyAlignment="1" applyProtection="1">
      <alignment horizontal="center" vertical="center"/>
      <protection hidden="1"/>
    </xf>
    <xf numFmtId="167" fontId="5" fillId="15" borderId="24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172" fontId="5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0" fillId="0" borderId="88" xfId="0" applyBorder="1" applyAlignment="1" applyProtection="1">
      <alignment horizontal="center" vertical="center"/>
      <protection hidden="1"/>
    </xf>
    <xf numFmtId="0" fontId="0" fillId="0" borderId="89" xfId="0" applyBorder="1" applyAlignment="1" applyProtection="1">
      <alignment horizontal="center" vertical="center" wrapText="1"/>
      <protection hidden="1"/>
    </xf>
    <xf numFmtId="0" fontId="0" fillId="0" borderId="90" xfId="0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left" vertical="center" wrapText="1"/>
      <protection hidden="1"/>
    </xf>
    <xf numFmtId="172" fontId="0" fillId="0" borderId="3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0" fontId="3" fillId="0" borderId="0" xfId="8" applyFont="1" applyFill="1" applyBorder="1" applyAlignment="1" applyProtection="1">
      <alignment horizontal="center" vertical="center" wrapText="1"/>
      <protection hidden="1"/>
    </xf>
    <xf numFmtId="167" fontId="3" fillId="0" borderId="3" xfId="8" applyNumberFormat="1" applyFont="1" applyFill="1" applyBorder="1" applyAlignment="1" applyProtection="1">
      <alignment horizontal="center" vertical="center" wrapText="1"/>
      <protection hidden="1"/>
    </xf>
    <xf numFmtId="167" fontId="5" fillId="0" borderId="0" xfId="8" applyNumberFormat="1" applyFont="1" applyFill="1" applyBorder="1" applyAlignment="1" applyProtection="1">
      <alignment horizontal="center" vertical="center" wrapText="1"/>
      <protection hidden="1"/>
    </xf>
    <xf numFmtId="4" fontId="5" fillId="0" borderId="0" xfId="8" applyNumberFormat="1" applyFont="1" applyFill="1" applyBorder="1" applyAlignment="1" applyProtection="1">
      <alignment horizontal="center" vertical="center" wrapText="1"/>
      <protection hidden="1"/>
    </xf>
    <xf numFmtId="164" fontId="5" fillId="15" borderId="25" xfId="0" applyNumberFormat="1" applyFont="1" applyFill="1" applyBorder="1" applyAlignment="1" applyProtection="1">
      <alignment horizontal="center"/>
      <protection hidden="1"/>
    </xf>
    <xf numFmtId="168" fontId="29" fillId="15" borderId="38" xfId="0" applyNumberFormat="1" applyFont="1" applyFill="1" applyBorder="1" applyAlignment="1" applyProtection="1">
      <alignment horizontal="center"/>
      <protection hidden="1"/>
    </xf>
    <xf numFmtId="168" fontId="5" fillId="15" borderId="24" xfId="0" applyNumberFormat="1" applyFont="1" applyFill="1" applyBorder="1" applyAlignment="1" applyProtection="1">
      <alignment horizontal="center"/>
      <protection hidden="1"/>
    </xf>
    <xf numFmtId="0" fontId="5" fillId="0" borderId="0" xfId="8" applyFont="1" applyFill="1" applyBorder="1" applyAlignment="1" applyProtection="1">
      <alignment horizontal="center" vertical="center" wrapText="1"/>
      <protection hidden="1"/>
    </xf>
    <xf numFmtId="0" fontId="0" fillId="0" borderId="89" xfId="0" applyBorder="1" applyAlignment="1" applyProtection="1">
      <alignment horizontal="center" wrapText="1"/>
      <protection hidden="1"/>
    </xf>
    <xf numFmtId="0" fontId="0" fillId="0" borderId="90" xfId="0" applyBorder="1" applyAlignment="1" applyProtection="1">
      <alignment horizontal="center" wrapText="1"/>
      <protection hidden="1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26" borderId="3" xfId="0" applyFont="1" applyFill="1" applyBorder="1" applyAlignment="1">
      <alignment vertical="center" wrapText="1"/>
    </xf>
    <xf numFmtId="9" fontId="13" fillId="2" borderId="3" xfId="2" applyFont="1" applyFill="1" applyBorder="1" applyAlignment="1">
      <alignment horizontal="center" vertical="center" wrapText="1"/>
    </xf>
    <xf numFmtId="9" fontId="76" fillId="0" borderId="3" xfId="2" applyFont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justify" vertical="center" wrapText="1"/>
    </xf>
    <xf numFmtId="0" fontId="52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9" fontId="13" fillId="0" borderId="3" xfId="2" applyFont="1" applyBorder="1" applyAlignment="1">
      <alignment horizontal="center" vertical="center" wrapText="1"/>
    </xf>
    <xf numFmtId="9" fontId="52" fillId="0" borderId="3" xfId="2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78" fillId="0" borderId="3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43" fillId="25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26" fillId="0" borderId="0" xfId="1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66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" fillId="27" borderId="3" xfId="0" applyFont="1" applyFill="1" applyBorder="1" applyAlignment="1" applyProtection="1">
      <alignment horizontal="left" vertical="center" wrapText="1"/>
      <protection hidden="1"/>
    </xf>
    <xf numFmtId="44" fontId="0" fillId="27" borderId="3" xfId="0" applyNumberFormat="1" applyFill="1" applyBorder="1" applyAlignment="1" applyProtection="1">
      <protection hidden="1"/>
    </xf>
    <xf numFmtId="2" fontId="5" fillId="15" borderId="24" xfId="0" applyNumberFormat="1" applyFont="1" applyFill="1" applyBorder="1" applyAlignment="1" applyProtection="1">
      <alignment horizontal="center"/>
      <protection hidden="1"/>
    </xf>
    <xf numFmtId="168" fontId="29" fillId="28" borderId="14" xfId="0" applyNumberFormat="1" applyFont="1" applyFill="1" applyBorder="1" applyAlignment="1" applyProtection="1">
      <alignment horizontal="center"/>
      <protection hidden="1"/>
    </xf>
    <xf numFmtId="0" fontId="20" fillId="12" borderId="4" xfId="0" applyFont="1" applyFill="1" applyBorder="1" applyAlignment="1" applyProtection="1">
      <alignment horizontal="left" vertical="center" wrapText="1"/>
      <protection hidden="1"/>
    </xf>
    <xf numFmtId="0" fontId="20" fillId="12" borderId="5" xfId="0" applyFont="1" applyFill="1" applyBorder="1" applyAlignment="1" applyProtection="1">
      <alignment horizontal="left" vertical="center" wrapText="1"/>
      <protection hidden="1"/>
    </xf>
    <xf numFmtId="0" fontId="20" fillId="12" borderId="2" xfId="0" applyFont="1" applyFill="1" applyBorder="1" applyAlignment="1" applyProtection="1">
      <alignment horizontal="left" vertical="center" wrapText="1"/>
      <protection hidden="1"/>
    </xf>
    <xf numFmtId="0" fontId="20" fillId="12" borderId="8" xfId="0" applyFont="1" applyFill="1" applyBorder="1" applyAlignment="1" applyProtection="1">
      <alignment horizontal="left" vertical="center" wrapText="1"/>
      <protection hidden="1"/>
    </xf>
    <xf numFmtId="0" fontId="20" fillId="17" borderId="4" xfId="0" applyFont="1" applyFill="1" applyBorder="1" applyAlignment="1" applyProtection="1">
      <alignment horizontal="center" vertical="center" wrapText="1"/>
      <protection hidden="1"/>
    </xf>
    <xf numFmtId="0" fontId="20" fillId="17" borderId="21" xfId="0" applyFont="1" applyFill="1" applyBorder="1" applyAlignment="1" applyProtection="1">
      <alignment horizontal="center" vertical="center" wrapText="1"/>
      <protection hidden="1"/>
    </xf>
    <xf numFmtId="0" fontId="20" fillId="17" borderId="2" xfId="0" applyFont="1" applyFill="1" applyBorder="1" applyAlignment="1" applyProtection="1">
      <alignment horizontal="center" vertical="center" wrapText="1"/>
      <protection hidden="1"/>
    </xf>
    <xf numFmtId="0" fontId="20" fillId="17" borderId="9" xfId="0" applyFont="1" applyFill="1" applyBorder="1" applyAlignment="1" applyProtection="1">
      <alignment horizontal="center" vertical="center" wrapText="1"/>
      <protection hidden="1"/>
    </xf>
    <xf numFmtId="0" fontId="25" fillId="12" borderId="1" xfId="0" applyFont="1" applyFill="1" applyBorder="1" applyAlignment="1" applyProtection="1">
      <alignment horizontal="center" vertical="center" wrapText="1"/>
      <protection hidden="1"/>
    </xf>
    <xf numFmtId="0" fontId="25" fillId="12" borderId="0" xfId="0" applyFont="1" applyFill="1" applyBorder="1" applyAlignment="1" applyProtection="1">
      <alignment horizontal="center" vertical="center" wrapText="1"/>
      <protection hidden="1"/>
    </xf>
    <xf numFmtId="0" fontId="25" fillId="12" borderId="15" xfId="0" applyFont="1" applyFill="1" applyBorder="1" applyAlignment="1" applyProtection="1">
      <alignment horizontal="center" vertical="center" wrapText="1"/>
      <protection hidden="1"/>
    </xf>
    <xf numFmtId="0" fontId="57" fillId="13" borderId="16" xfId="0" applyFont="1" applyFill="1" applyBorder="1" applyAlignment="1" applyProtection="1">
      <alignment horizontal="center" vertical="center" wrapText="1"/>
      <protection hidden="1"/>
    </xf>
    <xf numFmtId="0" fontId="57" fillId="13" borderId="17" xfId="0" applyFont="1" applyFill="1" applyBorder="1" applyAlignment="1" applyProtection="1">
      <alignment horizontal="center" vertical="center" wrapText="1"/>
      <protection hidden="1"/>
    </xf>
    <xf numFmtId="0" fontId="57" fillId="13" borderId="27" xfId="0" applyFont="1" applyFill="1" applyBorder="1" applyAlignment="1" applyProtection="1">
      <alignment horizontal="center" vertical="center" wrapText="1"/>
      <protection hidden="1"/>
    </xf>
    <xf numFmtId="0" fontId="17" fillId="12" borderId="1" xfId="0" quotePrefix="1" applyFont="1" applyFill="1" applyBorder="1" applyAlignment="1" applyProtection="1">
      <alignment horizontal="left" vertical="center" wrapText="1"/>
      <protection hidden="1"/>
    </xf>
    <xf numFmtId="0" fontId="17" fillId="12" borderId="0" xfId="0" quotePrefix="1" applyFont="1" applyFill="1" applyBorder="1" applyAlignment="1" applyProtection="1">
      <alignment horizontal="left" vertical="center" wrapText="1"/>
      <protection hidden="1"/>
    </xf>
    <xf numFmtId="0" fontId="17" fillId="12" borderId="15" xfId="0" quotePrefix="1" applyFont="1" applyFill="1" applyBorder="1" applyAlignment="1" applyProtection="1">
      <alignment horizontal="left" vertical="center" wrapText="1"/>
      <protection hidden="1"/>
    </xf>
    <xf numFmtId="0" fontId="25" fillId="12" borderId="1" xfId="0" applyFont="1" applyFill="1" applyBorder="1" applyAlignment="1" applyProtection="1">
      <alignment horizontal="left" vertical="center" wrapText="1"/>
      <protection hidden="1"/>
    </xf>
    <xf numFmtId="0" fontId="25" fillId="12" borderId="0" xfId="0" applyFont="1" applyFill="1" applyBorder="1" applyAlignment="1" applyProtection="1">
      <alignment horizontal="left" vertical="center" wrapText="1"/>
      <protection hidden="1"/>
    </xf>
    <xf numFmtId="0" fontId="25" fillId="12" borderId="15" xfId="0" applyFont="1" applyFill="1" applyBorder="1" applyAlignment="1" applyProtection="1">
      <alignment horizontal="left" vertical="center" wrapText="1"/>
      <protection hidden="1"/>
    </xf>
    <xf numFmtId="0" fontId="20" fillId="12" borderId="1" xfId="0" applyFont="1" applyFill="1" applyBorder="1" applyAlignment="1" applyProtection="1">
      <alignment horizontal="center" vertical="center" wrapText="1"/>
      <protection hidden="1"/>
    </xf>
    <xf numFmtId="0" fontId="20" fillId="12" borderId="0" xfId="0" applyFont="1" applyFill="1" applyBorder="1" applyAlignment="1" applyProtection="1">
      <alignment horizontal="center" vertical="center" wrapText="1"/>
      <protection hidden="1"/>
    </xf>
    <xf numFmtId="0" fontId="20" fillId="12" borderId="15" xfId="0" applyFont="1" applyFill="1" applyBorder="1" applyAlignment="1" applyProtection="1">
      <alignment horizontal="center" vertical="center" wrapText="1"/>
      <protection hidden="1"/>
    </xf>
    <xf numFmtId="0" fontId="20" fillId="12" borderId="1" xfId="0" applyFont="1" applyFill="1" applyBorder="1" applyAlignment="1" applyProtection="1">
      <alignment horizontal="left" vertical="center" wrapText="1"/>
      <protection hidden="1"/>
    </xf>
    <xf numFmtId="0" fontId="20" fillId="12" borderId="0" xfId="0" applyFont="1" applyFill="1" applyBorder="1" applyAlignment="1" applyProtection="1">
      <alignment horizontal="left" vertical="center" wrapText="1"/>
      <protection hidden="1"/>
    </xf>
    <xf numFmtId="0" fontId="40" fillId="12" borderId="1" xfId="0" quotePrefix="1" applyFont="1" applyFill="1" applyBorder="1" applyAlignment="1" applyProtection="1">
      <alignment horizontal="left" vertical="center" wrapText="1"/>
      <protection hidden="1"/>
    </xf>
    <xf numFmtId="0" fontId="40" fillId="12" borderId="0" xfId="0" quotePrefix="1" applyFont="1" applyFill="1" applyBorder="1" applyAlignment="1" applyProtection="1">
      <alignment horizontal="left" vertical="center" wrapText="1"/>
      <protection hidden="1"/>
    </xf>
    <xf numFmtId="0" fontId="17" fillId="12" borderId="1" xfId="0" applyFont="1" applyFill="1" applyBorder="1" applyAlignment="1" applyProtection="1">
      <alignment horizontal="left" vertical="center" wrapText="1"/>
      <protection hidden="1"/>
    </xf>
    <xf numFmtId="0" fontId="17" fillId="12" borderId="0" xfId="0" applyFont="1" applyFill="1" applyBorder="1" applyAlignment="1" applyProtection="1">
      <alignment horizontal="left" vertical="center" wrapText="1"/>
      <protection hidden="1"/>
    </xf>
    <xf numFmtId="0" fontId="17" fillId="12" borderId="15" xfId="0" applyFont="1" applyFill="1" applyBorder="1" applyAlignment="1" applyProtection="1">
      <alignment horizontal="left" vertical="center" wrapText="1"/>
      <protection hidden="1"/>
    </xf>
    <xf numFmtId="0" fontId="50" fillId="2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15" xfId="0" applyFont="1" applyFill="1" applyBorder="1" applyAlignment="1" applyProtection="1">
      <alignment horizontal="left" vertical="top" wrapText="1"/>
    </xf>
    <xf numFmtId="0" fontId="66" fillId="9" borderId="10" xfId="0" applyFont="1" applyFill="1" applyBorder="1" applyAlignment="1" applyProtection="1">
      <alignment horizontal="left" vertical="center"/>
      <protection locked="0"/>
    </xf>
    <xf numFmtId="0" fontId="52" fillId="17" borderId="3" xfId="0" applyFont="1" applyFill="1" applyBorder="1" applyAlignment="1" applyProtection="1">
      <alignment horizontal="left" vertical="center"/>
      <protection locked="0"/>
    </xf>
    <xf numFmtId="0" fontId="0" fillId="12" borderId="4" xfId="0" applyFont="1" applyFill="1" applyBorder="1" applyAlignment="1" applyProtection="1">
      <alignment horizontal="left" vertical="center" wrapText="1"/>
    </xf>
    <xf numFmtId="0" fontId="0" fillId="12" borderId="5" xfId="0" applyFont="1" applyFill="1" applyBorder="1" applyAlignment="1" applyProtection="1">
      <alignment horizontal="left" vertical="center" wrapText="1"/>
    </xf>
    <xf numFmtId="0" fontId="0" fillId="12" borderId="21" xfId="0" applyFont="1" applyFill="1" applyBorder="1" applyAlignment="1" applyProtection="1">
      <alignment horizontal="left" vertical="center" wrapText="1"/>
    </xf>
    <xf numFmtId="0" fontId="0" fillId="12" borderId="2" xfId="0" applyFont="1" applyFill="1" applyBorder="1" applyAlignment="1" applyProtection="1">
      <alignment horizontal="left" vertical="center" wrapText="1"/>
    </xf>
    <xf numFmtId="0" fontId="0" fillId="12" borderId="8" xfId="0" applyFont="1" applyFill="1" applyBorder="1" applyAlignment="1" applyProtection="1">
      <alignment horizontal="left" vertical="center" wrapText="1"/>
    </xf>
    <xf numFmtId="0" fontId="0" fillId="12" borderId="9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15" xfId="0" applyFont="1" applyBorder="1" applyAlignment="1" applyProtection="1">
      <alignment horizontal="left" vertical="center" wrapText="1"/>
      <protection hidden="1"/>
    </xf>
    <xf numFmtId="0" fontId="0" fillId="7" borderId="0" xfId="0" applyFill="1" applyBorder="1" applyAlignment="1" applyProtection="1">
      <alignment horizontal="left" vertical="center" wrapText="1"/>
      <protection hidden="1"/>
    </xf>
    <xf numFmtId="0" fontId="0" fillId="17" borderId="18" xfId="0" applyFill="1" applyBorder="1" applyAlignment="1" applyProtection="1">
      <alignment horizontal="left" vertical="center"/>
      <protection locked="0"/>
    </xf>
    <xf numFmtId="0" fontId="0" fillId="17" borderId="19" xfId="0" applyFill="1" applyBorder="1" applyAlignment="1" applyProtection="1">
      <alignment horizontal="left" vertical="center"/>
      <protection locked="0"/>
    </xf>
    <xf numFmtId="0" fontId="0" fillId="17" borderId="20" xfId="0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center"/>
      <protection hidden="1"/>
    </xf>
    <xf numFmtId="0" fontId="5" fillId="2" borderId="17" xfId="0" applyFont="1" applyFill="1" applyBorder="1" applyAlignment="1" applyProtection="1">
      <alignment horizontal="center"/>
      <protection hidden="1"/>
    </xf>
    <xf numFmtId="0" fontId="5" fillId="2" borderId="27" xfId="0" applyFont="1" applyFill="1" applyBorder="1" applyAlignment="1" applyProtection="1">
      <alignment horizontal="center"/>
      <protection hidden="1"/>
    </xf>
    <xf numFmtId="0" fontId="35" fillId="2" borderId="16" xfId="0" applyFont="1" applyFill="1" applyBorder="1" applyAlignment="1" applyProtection="1">
      <alignment horizontal="left" vertical="center" wrapText="1"/>
      <protection hidden="1"/>
    </xf>
    <xf numFmtId="0" fontId="35" fillId="2" borderId="17" xfId="0" applyFont="1" applyFill="1" applyBorder="1" applyAlignment="1" applyProtection="1">
      <alignment horizontal="left" vertical="center" wrapText="1"/>
      <protection hidden="1"/>
    </xf>
    <xf numFmtId="0" fontId="35" fillId="2" borderId="27" xfId="0" applyFont="1" applyFill="1" applyBorder="1" applyAlignment="1" applyProtection="1">
      <alignment horizontal="left" vertical="center" wrapText="1"/>
      <protection hidden="1"/>
    </xf>
    <xf numFmtId="0" fontId="6" fillId="15" borderId="42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2" fillId="8" borderId="0" xfId="0" applyFont="1" applyFill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left" vertical="top" wrapText="1"/>
      <protection hidden="1"/>
    </xf>
    <xf numFmtId="0" fontId="6" fillId="5" borderId="41" xfId="0" applyFont="1" applyFill="1" applyBorder="1" applyAlignment="1" applyProtection="1">
      <alignment horizontal="left" vertical="center" wrapText="1"/>
      <protection hidden="1"/>
    </xf>
    <xf numFmtId="0" fontId="6" fillId="5" borderId="19" xfId="0" applyFont="1" applyFill="1" applyBorder="1" applyAlignment="1" applyProtection="1">
      <alignment horizontal="left" vertical="center" wrapText="1"/>
      <protection hidden="1"/>
    </xf>
    <xf numFmtId="0" fontId="6" fillId="5" borderId="28" xfId="0" applyFont="1" applyFill="1" applyBorder="1" applyAlignment="1" applyProtection="1">
      <alignment horizontal="left" vertical="center" wrapText="1"/>
      <protection hidden="1"/>
    </xf>
    <xf numFmtId="0" fontId="1" fillId="0" borderId="39" xfId="0" applyFont="1" applyBorder="1" applyAlignment="1" applyProtection="1">
      <alignment horizontal="left" vertical="center" wrapText="1"/>
      <protection hidden="1"/>
    </xf>
    <xf numFmtId="0" fontId="0" fillId="0" borderId="57" xfId="0" applyBorder="1" applyAlignment="1" applyProtection="1">
      <alignment horizontal="left" vertical="center" wrapText="1"/>
      <protection hidden="1"/>
    </xf>
    <xf numFmtId="0" fontId="9" fillId="0" borderId="17" xfId="0" applyFont="1" applyBorder="1" applyAlignment="1" applyProtection="1">
      <alignment horizontal="left" vertical="top" wrapText="1"/>
      <protection hidden="1"/>
    </xf>
    <xf numFmtId="0" fontId="0" fillId="17" borderId="18" xfId="0" applyFill="1" applyBorder="1" applyAlignment="1" applyProtection="1">
      <alignment horizontal="center" vertical="center" wrapText="1"/>
      <protection locked="0"/>
    </xf>
    <xf numFmtId="0" fontId="0" fillId="17" borderId="19" xfId="0" applyFill="1" applyBorder="1" applyAlignment="1" applyProtection="1">
      <alignment horizontal="center" vertical="center" wrapText="1"/>
      <protection locked="0"/>
    </xf>
    <xf numFmtId="0" fontId="0" fillId="17" borderId="29" xfId="0" applyFill="1" applyBorder="1" applyAlignment="1" applyProtection="1">
      <alignment horizontal="center" vertical="center" wrapText="1"/>
      <protection locked="0"/>
    </xf>
    <xf numFmtId="0" fontId="0" fillId="17" borderId="79" xfId="0" applyFill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center" vertical="center"/>
      <protection hidden="1"/>
    </xf>
    <xf numFmtId="0" fontId="12" fillId="8" borderId="0" xfId="0" applyFont="1" applyFill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 horizontal="center" vertical="center" wrapText="1"/>
      <protection hidden="1"/>
    </xf>
    <xf numFmtId="0" fontId="6" fillId="0" borderId="61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54" fillId="0" borderId="0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left" vertical="center"/>
      <protection hidden="1"/>
    </xf>
    <xf numFmtId="0" fontId="0" fillId="2" borderId="17" xfId="0" applyFill="1" applyBorder="1" applyAlignment="1" applyProtection="1">
      <alignment horizontal="left" vertical="center"/>
      <protection hidden="1"/>
    </xf>
    <xf numFmtId="0" fontId="0" fillId="2" borderId="27" xfId="0" applyFill="1" applyBorder="1" applyAlignment="1" applyProtection="1">
      <alignment horizontal="left" vertical="center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12" fillId="7" borderId="0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left" vertical="center" wrapText="1"/>
      <protection hidden="1"/>
    </xf>
    <xf numFmtId="0" fontId="5" fillId="2" borderId="27" xfId="0" applyFont="1" applyFill="1" applyBorder="1" applyAlignment="1" applyProtection="1">
      <alignment horizontal="left" vertical="center" wrapText="1"/>
      <protection hidden="1"/>
    </xf>
    <xf numFmtId="0" fontId="5" fillId="7" borderId="4" xfId="0" applyFont="1" applyFill="1" applyBorder="1" applyAlignment="1" applyProtection="1">
      <alignment horizontal="center" vertical="center" wrapText="1"/>
      <protection hidden="1"/>
    </xf>
    <xf numFmtId="0" fontId="5" fillId="7" borderId="21" xfId="0" applyFont="1" applyFill="1" applyBorder="1" applyAlignment="1" applyProtection="1">
      <alignment horizontal="center" vertical="center" wrapText="1"/>
      <protection hidden="1"/>
    </xf>
    <xf numFmtId="0" fontId="5" fillId="7" borderId="16" xfId="0" applyFont="1" applyFill="1" applyBorder="1" applyAlignment="1" applyProtection="1">
      <alignment horizontal="center" vertical="center" wrapText="1"/>
      <protection hidden="1"/>
    </xf>
    <xf numFmtId="0" fontId="5" fillId="7" borderId="27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>
      <alignment horizontal="center" vertical="center" wrapText="1"/>
    </xf>
    <xf numFmtId="0" fontId="31" fillId="0" borderId="1" xfId="0" applyFont="1" applyBorder="1" applyAlignment="1" applyProtection="1">
      <alignment horizontal="center" wrapText="1"/>
      <protection hidden="1"/>
    </xf>
    <xf numFmtId="0" fontId="5" fillId="6" borderId="16" xfId="0" applyFont="1" applyFill="1" applyBorder="1" applyAlignment="1" applyProtection="1">
      <alignment horizontal="right" vertical="center" wrapText="1"/>
      <protection hidden="1"/>
    </xf>
    <xf numFmtId="0" fontId="5" fillId="6" borderId="27" xfId="0" applyFont="1" applyFill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wrapText="1"/>
      <protection hidden="1"/>
    </xf>
    <xf numFmtId="0" fontId="12" fillId="6" borderId="0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Fill="1" applyBorder="1" applyAlignment="1" applyProtection="1">
      <alignment horizontal="center" vertical="center" wrapText="1"/>
      <protection hidden="1"/>
    </xf>
    <xf numFmtId="0" fontId="38" fillId="2" borderId="0" xfId="0" applyFont="1" applyFill="1" applyBorder="1" applyAlignment="1" applyProtection="1">
      <alignment horizontal="left" vertical="center"/>
      <protection hidden="1"/>
    </xf>
    <xf numFmtId="0" fontId="12" fillId="6" borderId="0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 applyProtection="1">
      <alignment horizontal="left" vertical="center" wrapText="1"/>
      <protection hidden="1"/>
    </xf>
    <xf numFmtId="0" fontId="5" fillId="0" borderId="23" xfId="0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left" vertical="center" wrapText="1"/>
      <protection hidden="1"/>
    </xf>
    <xf numFmtId="0" fontId="5" fillId="2" borderId="24" xfId="0" applyFont="1" applyFill="1" applyBorder="1" applyAlignment="1" applyProtection="1">
      <alignment horizontal="left" vertical="center" wrapText="1"/>
      <protection hidden="1"/>
    </xf>
    <xf numFmtId="0" fontId="5" fillId="2" borderId="25" xfId="0" applyFont="1" applyFill="1" applyBorder="1" applyAlignment="1" applyProtection="1">
      <alignment horizontal="left" vertical="center" wrapText="1"/>
      <protection hidden="1"/>
    </xf>
    <xf numFmtId="0" fontId="45" fillId="12" borderId="0" xfId="0" applyFont="1" applyFill="1" applyAlignment="1" applyProtection="1">
      <alignment horizontal="center" vertical="top"/>
      <protection locked="0"/>
    </xf>
    <xf numFmtId="0" fontId="45" fillId="15" borderId="18" xfId="0" applyFont="1" applyFill="1" applyBorder="1" applyAlignment="1" applyProtection="1">
      <alignment horizontal="center" vertical="center" wrapText="1"/>
      <protection hidden="1"/>
    </xf>
    <xf numFmtId="0" fontId="45" fillId="15" borderId="20" xfId="0" applyFont="1" applyFill="1" applyBorder="1" applyAlignment="1" applyProtection="1">
      <alignment horizontal="center" vertical="center" wrapText="1"/>
      <protection hidden="1"/>
    </xf>
    <xf numFmtId="0" fontId="50" fillId="15" borderId="18" xfId="0" applyFont="1" applyFill="1" applyBorder="1" applyAlignment="1" applyProtection="1">
      <alignment horizontal="left" vertical="center"/>
      <protection hidden="1"/>
    </xf>
    <xf numFmtId="0" fontId="50" fillId="15" borderId="20" xfId="0" applyFont="1" applyFill="1" applyBorder="1" applyAlignment="1" applyProtection="1">
      <alignment horizontal="left" vertical="center"/>
      <protection hidden="1"/>
    </xf>
    <xf numFmtId="0" fontId="45" fillId="15" borderId="3" xfId="0" applyFont="1" applyFill="1" applyBorder="1" applyAlignment="1" applyProtection="1">
      <alignment horizontal="center" vertical="center"/>
      <protection hidden="1"/>
    </xf>
    <xf numFmtId="4" fontId="45" fillId="0" borderId="76" xfId="0" applyNumberFormat="1" applyFont="1" applyFill="1" applyBorder="1" applyAlignment="1" applyProtection="1">
      <alignment horizontal="center" vertical="center"/>
      <protection locked="0"/>
    </xf>
    <xf numFmtId="4" fontId="45" fillId="0" borderId="77" xfId="0" applyNumberFormat="1" applyFont="1" applyFill="1" applyBorder="1" applyAlignment="1" applyProtection="1">
      <alignment horizontal="center" vertical="center"/>
      <protection locked="0"/>
    </xf>
    <xf numFmtId="4" fontId="45" fillId="0" borderId="78" xfId="0" applyNumberFormat="1" applyFont="1" applyFill="1" applyBorder="1" applyAlignment="1" applyProtection="1">
      <alignment horizontal="center" vertical="center"/>
      <protection locked="0"/>
    </xf>
    <xf numFmtId="0" fontId="52" fillId="12" borderId="16" xfId="0" applyFont="1" applyFill="1" applyBorder="1" applyAlignment="1" applyProtection="1">
      <alignment horizontal="center" vertical="center" wrapText="1"/>
      <protection hidden="1"/>
    </xf>
    <xf numFmtId="0" fontId="52" fillId="12" borderId="55" xfId="0" applyFont="1" applyFill="1" applyBorder="1" applyAlignment="1" applyProtection="1">
      <alignment horizontal="center" vertical="center" wrapText="1"/>
      <protection hidden="1"/>
    </xf>
    <xf numFmtId="0" fontId="60" fillId="14" borderId="0" xfId="0" applyFont="1" applyFill="1" applyAlignment="1" applyProtection="1">
      <alignment horizontal="center" vertical="center"/>
      <protection hidden="1"/>
    </xf>
    <xf numFmtId="0" fontId="50" fillId="10" borderId="68" xfId="0" applyFont="1" applyFill="1" applyBorder="1" applyAlignment="1" applyProtection="1">
      <alignment horizontal="center" vertical="center" wrapText="1"/>
    </xf>
    <xf numFmtId="0" fontId="50" fillId="10" borderId="5" xfId="0" applyFont="1" applyFill="1" applyBorder="1" applyAlignment="1" applyProtection="1">
      <alignment horizontal="center" vertical="center" wrapText="1"/>
    </xf>
    <xf numFmtId="0" fontId="50" fillId="10" borderId="21" xfId="0" applyFont="1" applyFill="1" applyBorder="1" applyAlignment="1" applyProtection="1">
      <alignment horizontal="center" vertical="center" wrapText="1"/>
    </xf>
    <xf numFmtId="4" fontId="45" fillId="0" borderId="71" xfId="0" applyNumberFormat="1" applyFont="1" applyFill="1" applyBorder="1" applyAlignment="1" applyProtection="1">
      <alignment horizontal="center" vertical="center"/>
      <protection locked="0"/>
    </xf>
    <xf numFmtId="4" fontId="45" fillId="0" borderId="72" xfId="0" applyNumberFormat="1" applyFont="1" applyFill="1" applyBorder="1" applyAlignment="1" applyProtection="1">
      <alignment horizontal="center" vertical="center"/>
      <protection locked="0"/>
    </xf>
    <xf numFmtId="4" fontId="45" fillId="0" borderId="73" xfId="0" applyNumberFormat="1" applyFont="1" applyFill="1" applyBorder="1" applyAlignment="1" applyProtection="1">
      <alignment horizontal="center" vertical="center"/>
      <protection locked="0"/>
    </xf>
    <xf numFmtId="0" fontId="69" fillId="0" borderId="32" xfId="8" applyFont="1" applyFill="1" applyBorder="1" applyAlignment="1" applyProtection="1">
      <alignment horizontal="left" vertical="center" wrapText="1"/>
      <protection hidden="1"/>
    </xf>
    <xf numFmtId="0" fontId="68" fillId="0" borderId="61" xfId="8" applyFont="1" applyFill="1" applyBorder="1" applyAlignment="1" applyProtection="1">
      <alignment horizontal="left" vertical="center" wrapText="1"/>
      <protection hidden="1"/>
    </xf>
    <xf numFmtId="0" fontId="69" fillId="0" borderId="18" xfId="8" applyFont="1" applyFill="1" applyBorder="1" applyAlignment="1" applyProtection="1">
      <alignment horizontal="left" vertical="center" wrapText="1"/>
      <protection hidden="1"/>
    </xf>
    <xf numFmtId="0" fontId="68" fillId="0" borderId="19" xfId="8" applyFont="1" applyFill="1" applyBorder="1" applyAlignment="1" applyProtection="1">
      <alignment horizontal="left" vertical="center" wrapText="1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0" fillId="18" borderId="16" xfId="0" applyFill="1" applyBorder="1" applyAlignment="1" applyProtection="1">
      <alignment horizontal="center"/>
      <protection hidden="1"/>
    </xf>
    <xf numFmtId="0" fontId="0" fillId="18" borderId="17" xfId="0" applyFill="1" applyBorder="1" applyAlignment="1" applyProtection="1">
      <alignment horizontal="center"/>
      <protection hidden="1"/>
    </xf>
    <xf numFmtId="0" fontId="0" fillId="18" borderId="27" xfId="0" applyFill="1" applyBorder="1" applyAlignment="1" applyProtection="1">
      <alignment horizontal="center"/>
      <protection hidden="1"/>
    </xf>
    <xf numFmtId="0" fontId="0" fillId="13" borderId="16" xfId="0" applyFill="1" applyBorder="1" applyAlignment="1" applyProtection="1">
      <alignment horizontal="center" vertical="center" wrapText="1"/>
      <protection hidden="1"/>
    </xf>
    <xf numFmtId="0" fontId="0" fillId="13" borderId="27" xfId="0" applyFill="1" applyBorder="1" applyAlignment="1" applyProtection="1">
      <alignment horizontal="center" vertical="center" wrapText="1"/>
      <protection hidden="1"/>
    </xf>
    <xf numFmtId="0" fontId="43" fillId="6" borderId="16" xfId="0" applyFont="1" applyFill="1" applyBorder="1" applyAlignment="1" applyProtection="1">
      <alignment horizontal="center" vertical="center" wrapText="1"/>
      <protection hidden="1"/>
    </xf>
    <xf numFmtId="0" fontId="43" fillId="6" borderId="27" xfId="0" applyFont="1" applyFill="1" applyBorder="1" applyAlignment="1" applyProtection="1">
      <alignment horizontal="center" vertical="center" wrapText="1"/>
      <protection hidden="1"/>
    </xf>
    <xf numFmtId="0" fontId="39" fillId="21" borderId="16" xfId="0" applyFont="1" applyFill="1" applyBorder="1" applyAlignment="1" applyProtection="1">
      <alignment horizontal="center" vertical="center"/>
      <protection hidden="1"/>
    </xf>
    <xf numFmtId="0" fontId="39" fillId="21" borderId="27" xfId="0" applyFont="1" applyFill="1" applyBorder="1" applyAlignment="1" applyProtection="1">
      <alignment horizontal="center" vertical="center"/>
      <protection hidden="1"/>
    </xf>
    <xf numFmtId="0" fontId="71" fillId="10" borderId="16" xfId="8" applyFont="1" applyFill="1" applyBorder="1" applyAlignment="1" applyProtection="1">
      <alignment horizontal="left" vertical="center" wrapText="1"/>
      <protection hidden="1"/>
    </xf>
    <xf numFmtId="0" fontId="71" fillId="10" borderId="17" xfId="8" applyFont="1" applyFill="1" applyBorder="1" applyAlignment="1" applyProtection="1">
      <alignment horizontal="left" vertical="center" wrapText="1"/>
      <protection hidden="1"/>
    </xf>
    <xf numFmtId="0" fontId="70" fillId="20" borderId="7" xfId="8" applyFont="1" applyFill="1" applyBorder="1" applyAlignment="1" applyProtection="1">
      <alignment horizontal="center" vertical="center" wrapText="1"/>
      <protection hidden="1"/>
    </xf>
    <xf numFmtId="0" fontId="70" fillId="20" borderId="23" xfId="8" applyFont="1" applyFill="1" applyBorder="1" applyAlignment="1" applyProtection="1">
      <alignment horizontal="center" vertical="center" wrapText="1"/>
      <protection hidden="1"/>
    </xf>
    <xf numFmtId="0" fontId="70" fillId="20" borderId="24" xfId="8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173" fontId="5" fillId="17" borderId="53" xfId="0" applyNumberFormat="1" applyFont="1" applyFill="1" applyBorder="1" applyAlignment="1" applyProtection="1">
      <alignment horizontal="center" vertical="center"/>
      <protection locked="0"/>
    </xf>
    <xf numFmtId="173" fontId="5" fillId="17" borderId="44" xfId="0" applyNumberFormat="1" applyFont="1" applyFill="1" applyBorder="1" applyAlignment="1" applyProtection="1">
      <alignment horizontal="center" vertical="center"/>
      <protection locked="0"/>
    </xf>
    <xf numFmtId="173" fontId="5" fillId="17" borderId="5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54" fillId="0" borderId="0" xfId="0" applyFont="1" applyFill="1" applyBorder="1" applyAlignment="1" applyProtection="1">
      <alignment horizontal="center" vertical="center" wrapText="1"/>
      <protection hidden="1"/>
    </xf>
    <xf numFmtId="1" fontId="29" fillId="0" borderId="0" xfId="0" applyNumberFormat="1" applyFont="1" applyFill="1" applyBorder="1" applyAlignment="1" applyProtection="1">
      <alignment horizontal="center"/>
      <protection hidden="1"/>
    </xf>
    <xf numFmtId="167" fontId="5" fillId="0" borderId="3" xfId="8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/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0" fontId="5" fillId="0" borderId="27" xfId="0" applyFont="1" applyFill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71" fillId="10" borderId="27" xfId="8" applyFont="1" applyFill="1" applyBorder="1" applyAlignment="1" applyProtection="1">
      <alignment horizontal="left" vertical="center" wrapText="1"/>
      <protection hidden="1"/>
    </xf>
    <xf numFmtId="0" fontId="70" fillId="20" borderId="48" xfId="8" applyFont="1" applyFill="1" applyBorder="1" applyAlignment="1" applyProtection="1">
      <alignment horizontal="center" vertical="center"/>
      <protection hidden="1"/>
    </xf>
    <xf numFmtId="0" fontId="70" fillId="20" borderId="23" xfId="8" applyFont="1" applyFill="1" applyBorder="1" applyAlignment="1" applyProtection="1">
      <alignment horizontal="center" vertical="center"/>
      <protection hidden="1"/>
    </xf>
    <xf numFmtId="0" fontId="70" fillId="20" borderId="51" xfId="8" applyFont="1" applyFill="1" applyBorder="1" applyAlignment="1" applyProtection="1">
      <alignment horizontal="center" vertical="center"/>
      <protection hidden="1"/>
    </xf>
    <xf numFmtId="0" fontId="69" fillId="0" borderId="87" xfId="8" applyFont="1" applyFill="1" applyBorder="1" applyAlignment="1" applyProtection="1">
      <alignment horizontal="left" vertical="center" wrapText="1"/>
      <protection hidden="1"/>
    </xf>
    <xf numFmtId="0" fontId="68" fillId="0" borderId="5" xfId="8" applyFont="1" applyFill="1" applyBorder="1" applyAlignment="1" applyProtection="1">
      <alignment horizontal="left" vertical="center" wrapText="1"/>
      <protection hidden="1"/>
    </xf>
    <xf numFmtId="0" fontId="69" fillId="0" borderId="59" xfId="8" applyFont="1" applyFill="1" applyBorder="1" applyAlignment="1" applyProtection="1">
      <alignment horizontal="left" vertical="center" wrapText="1"/>
      <protection hidden="1"/>
    </xf>
    <xf numFmtId="0" fontId="68" fillId="0" borderId="35" xfId="8" applyFont="1" applyFill="1" applyBorder="1" applyAlignment="1" applyProtection="1">
      <alignment horizontal="left" vertical="center" wrapText="1"/>
      <protection hidden="1"/>
    </xf>
    <xf numFmtId="0" fontId="71" fillId="19" borderId="0" xfId="8" applyFont="1" applyFill="1" applyBorder="1" applyAlignment="1" applyProtection="1">
      <alignment horizontal="left" vertical="center" wrapText="1"/>
      <protection hidden="1"/>
    </xf>
    <xf numFmtId="0" fontId="70" fillId="19" borderId="0" xfId="8" applyFont="1" applyFill="1" applyBorder="1" applyAlignment="1" applyProtection="1">
      <alignment horizontal="center" vertical="center"/>
      <protection hidden="1"/>
    </xf>
    <xf numFmtId="0" fontId="69" fillId="19" borderId="0" xfId="8" applyFont="1" applyFill="1" applyBorder="1" applyAlignment="1" applyProtection="1">
      <alignment horizontal="left" vertical="center" wrapText="1"/>
      <protection hidden="1"/>
    </xf>
    <xf numFmtId="0" fontId="68" fillId="0" borderId="64" xfId="8" applyFont="1" applyFill="1" applyBorder="1" applyAlignment="1" applyProtection="1">
      <alignment horizontal="left" vertical="center" wrapText="1"/>
      <protection hidden="1"/>
    </xf>
    <xf numFmtId="0" fontId="69" fillId="0" borderId="37" xfId="8" applyFont="1" applyFill="1" applyBorder="1" applyAlignment="1" applyProtection="1">
      <alignment horizontal="left" vertical="center" wrapText="1"/>
      <protection hidden="1"/>
    </xf>
    <xf numFmtId="0" fontId="68" fillId="0" borderId="0" xfId="8" applyFont="1" applyFill="1" applyBorder="1" applyAlignment="1" applyProtection="1">
      <alignment horizontal="left" vertical="center" wrapText="1"/>
      <protection hidden="1"/>
    </xf>
    <xf numFmtId="0" fontId="72" fillId="0" borderId="32" xfId="8" applyFont="1" applyFill="1" applyBorder="1" applyAlignment="1" applyProtection="1">
      <alignment horizontal="left" vertical="center" wrapText="1"/>
      <protection hidden="1"/>
    </xf>
    <xf numFmtId="0" fontId="71" fillId="0" borderId="61" xfId="8" applyFont="1" applyFill="1" applyBorder="1" applyAlignment="1" applyProtection="1">
      <alignment horizontal="left" vertical="center" wrapText="1"/>
      <protection hidden="1"/>
    </xf>
    <xf numFmtId="0" fontId="72" fillId="0" borderId="18" xfId="8" applyFont="1" applyFill="1" applyBorder="1" applyAlignment="1" applyProtection="1">
      <alignment horizontal="left" vertical="center" wrapText="1"/>
      <protection hidden="1"/>
    </xf>
    <xf numFmtId="0" fontId="71" fillId="0" borderId="19" xfId="8" applyFont="1" applyFill="1" applyBorder="1" applyAlignment="1" applyProtection="1">
      <alignment horizontal="left" vertical="center" wrapText="1"/>
      <protection hidden="1"/>
    </xf>
    <xf numFmtId="0" fontId="72" fillId="0" borderId="29" xfId="8" applyFont="1" applyFill="1" applyBorder="1" applyAlignment="1" applyProtection="1">
      <alignment horizontal="left" vertical="center" wrapText="1"/>
      <protection hidden="1"/>
    </xf>
    <xf numFmtId="0" fontId="71" fillId="0" borderId="79" xfId="8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 wrapText="1"/>
      <protection hidden="1"/>
    </xf>
    <xf numFmtId="0" fontId="15" fillId="11" borderId="16" xfId="0" applyFont="1" applyFill="1" applyBorder="1" applyAlignment="1" applyProtection="1">
      <alignment horizontal="center" vertical="center"/>
      <protection hidden="1"/>
    </xf>
    <xf numFmtId="0" fontId="15" fillId="11" borderId="17" xfId="0" applyFont="1" applyFill="1" applyBorder="1" applyAlignment="1" applyProtection="1">
      <alignment horizontal="center" vertical="center"/>
      <protection hidden="1"/>
    </xf>
    <xf numFmtId="0" fontId="15" fillId="11" borderId="27" xfId="0" applyFont="1" applyFill="1" applyBorder="1" applyAlignment="1" applyProtection="1">
      <alignment horizontal="center" vertical="center"/>
      <protection hidden="1"/>
    </xf>
    <xf numFmtId="0" fontId="15" fillId="0" borderId="7" xfId="0" applyFont="1" applyFill="1" applyBorder="1" applyAlignment="1" applyProtection="1">
      <alignment horizontal="center" vertical="center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/>
      <protection hidden="1"/>
    </xf>
    <xf numFmtId="0" fontId="15" fillId="0" borderId="3" xfId="0" applyFont="1" applyFill="1" applyBorder="1" applyAlignment="1" applyProtection="1">
      <alignment horizontal="center" vertical="center"/>
      <protection hidden="1"/>
    </xf>
    <xf numFmtId="0" fontId="15" fillId="0" borderId="24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43" fillId="0" borderId="4" xfId="0" applyFont="1" applyBorder="1" applyAlignment="1" applyProtection="1">
      <alignment horizontal="center"/>
      <protection hidden="1"/>
    </xf>
    <xf numFmtId="0" fontId="43" fillId="0" borderId="5" xfId="0" applyFont="1" applyBorder="1" applyAlignment="1" applyProtection="1">
      <alignment horizontal="center"/>
      <protection hidden="1"/>
    </xf>
    <xf numFmtId="0" fontId="43" fillId="0" borderId="4" xfId="0" applyFont="1" applyBorder="1" applyAlignment="1" applyProtection="1">
      <alignment horizontal="center" vertical="center" wrapText="1"/>
      <protection hidden="1"/>
    </xf>
    <xf numFmtId="0" fontId="43" fillId="0" borderId="5" xfId="0" applyFont="1" applyBorder="1" applyAlignment="1" applyProtection="1">
      <alignment horizontal="center" vertical="center" wrapText="1"/>
      <protection hidden="1"/>
    </xf>
    <xf numFmtId="0" fontId="43" fillId="0" borderId="21" xfId="0" applyFont="1" applyBorder="1" applyAlignment="1" applyProtection="1">
      <alignment horizontal="center" vertical="center" wrapText="1"/>
      <protection hidden="1"/>
    </xf>
    <xf numFmtId="0" fontId="5" fillId="16" borderId="4" xfId="0" applyFont="1" applyFill="1" applyBorder="1" applyAlignment="1" applyProtection="1">
      <alignment horizontal="center"/>
      <protection hidden="1"/>
    </xf>
    <xf numFmtId="0" fontId="5" fillId="16" borderId="5" xfId="0" applyFont="1" applyFill="1" applyBorder="1" applyAlignment="1" applyProtection="1">
      <alignment horizontal="center"/>
      <protection hidden="1"/>
    </xf>
    <xf numFmtId="0" fontId="43" fillId="0" borderId="1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3" fillId="0" borderId="15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43" fillId="0" borderId="21" xfId="0" applyFont="1" applyBorder="1" applyAlignment="1" applyProtection="1">
      <alignment horizontal="center"/>
      <protection hidden="1"/>
    </xf>
    <xf numFmtId="0" fontId="79" fillId="26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0" fillId="25" borderId="0" xfId="0" applyFont="1" applyFill="1" applyAlignment="1">
      <alignment horizontal="center" vertical="center"/>
    </xf>
    <xf numFmtId="0" fontId="75" fillId="25" borderId="44" xfId="0" applyFont="1" applyFill="1" applyBorder="1" applyAlignment="1">
      <alignment horizontal="left" vertical="center"/>
    </xf>
    <xf numFmtId="0" fontId="43" fillId="25" borderId="3" xfId="0" applyFont="1" applyFill="1" applyBorder="1" applyAlignment="1">
      <alignment horizontal="center" vertical="center" wrapText="1"/>
    </xf>
    <xf numFmtId="0" fontId="43" fillId="25" borderId="10" xfId="0" applyFont="1" applyFill="1" applyBorder="1" applyAlignment="1">
      <alignment horizontal="center" vertical="center" wrapText="1"/>
    </xf>
    <xf numFmtId="0" fontId="43" fillId="25" borderId="47" xfId="0" applyFont="1" applyFill="1" applyBorder="1" applyAlignment="1">
      <alignment horizontal="center" vertical="center" wrapText="1"/>
    </xf>
    <xf numFmtId="0" fontId="43" fillId="25" borderId="18" xfId="0" applyFont="1" applyFill="1" applyBorder="1" applyAlignment="1">
      <alignment horizontal="center" vertical="center" wrapText="1"/>
    </xf>
    <xf numFmtId="0" fontId="43" fillId="25" borderId="19" xfId="0" applyFont="1" applyFill="1" applyBorder="1" applyAlignment="1">
      <alignment horizontal="center" vertical="center" wrapText="1"/>
    </xf>
    <xf numFmtId="0" fontId="43" fillId="25" borderId="2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42" xfId="0" applyFont="1" applyBorder="1" applyAlignment="1">
      <alignment horizontal="left" vertical="center" wrapText="1"/>
    </xf>
  </cellXfs>
  <cellStyles count="11">
    <cellStyle name="Hiperligação" xfId="7" builtinId="8"/>
    <cellStyle name="Moeda" xfId="1" builtinId="4"/>
    <cellStyle name="Moeda 2" xfId="4"/>
    <cellStyle name="Normal" xfId="0" builtinId="0"/>
    <cellStyle name="Normal 2" xfId="9"/>
    <cellStyle name="Normal 2 2" xfId="8"/>
    <cellStyle name="Normal 2 3" xfId="10"/>
    <cellStyle name="Percentagem" xfId="2" builtinId="5"/>
    <cellStyle name="Separador de milhares [0] 2" xfId="5"/>
    <cellStyle name="Vírgula" xfId="3" builtinId="3"/>
    <cellStyle name="Vírgula 2" xfId="6"/>
  </cellStyles>
  <dxfs count="14"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96"/>
        </patternFill>
      </fill>
    </dxf>
    <dxf>
      <fill>
        <patternFill>
          <bgColor rgb="FFFFFF96"/>
        </patternFill>
      </fill>
    </dxf>
    <dxf>
      <fill>
        <patternFill>
          <bgColor rgb="FFFFFF9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204995</xdr:colOff>
      <xdr:row>1</xdr:row>
      <xdr:rowOff>548309</xdr:rowOff>
    </xdr:from>
    <xdr:to>
      <xdr:col>10</xdr:col>
      <xdr:colOff>433595</xdr:colOff>
      <xdr:row>1</xdr:row>
      <xdr:rowOff>1034084</xdr:rowOff>
    </xdr:to>
    <xdr:pic>
      <xdr:nvPicPr>
        <xdr:cNvPr id="620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9670" y="643559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731956</xdr:colOff>
      <xdr:row>1</xdr:row>
      <xdr:rowOff>35721</xdr:rowOff>
    </xdr:from>
    <xdr:to>
      <xdr:col>8</xdr:col>
      <xdr:colOff>2176825</xdr:colOff>
      <xdr:row>3</xdr:row>
      <xdr:rowOff>104777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1612" y="23812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228588</xdr:colOff>
      <xdr:row>2</xdr:row>
      <xdr:rowOff>100853</xdr:rowOff>
    </xdr:from>
    <xdr:to>
      <xdr:col>11</xdr:col>
      <xdr:colOff>120395</xdr:colOff>
      <xdr:row>3</xdr:row>
      <xdr:rowOff>425824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4176" y="493059"/>
          <a:ext cx="1718366" cy="59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620828</xdr:colOff>
      <xdr:row>1</xdr:row>
      <xdr:rowOff>76200</xdr:rowOff>
    </xdr:from>
    <xdr:to>
      <xdr:col>9</xdr:col>
      <xdr:colOff>1140092</xdr:colOff>
      <xdr:row>3</xdr:row>
      <xdr:rowOff>104775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7528" y="276225"/>
          <a:ext cx="142581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674803</xdr:colOff>
      <xdr:row>2</xdr:row>
      <xdr:rowOff>52917</xdr:rowOff>
    </xdr:from>
    <xdr:to>
      <xdr:col>8</xdr:col>
      <xdr:colOff>1195747</xdr:colOff>
      <xdr:row>3</xdr:row>
      <xdr:rowOff>271992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2353" y="443442"/>
          <a:ext cx="142581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82019</xdr:colOff>
      <xdr:row>0</xdr:row>
      <xdr:rowOff>134471</xdr:rowOff>
    </xdr:from>
    <xdr:to>
      <xdr:col>2</xdr:col>
      <xdr:colOff>1526888</xdr:colOff>
      <xdr:row>2</xdr:row>
      <xdr:rowOff>160805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72" y="134471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8</xdr:row>
      <xdr:rowOff>76200</xdr:rowOff>
    </xdr:from>
    <xdr:to>
      <xdr:col>12</xdr:col>
      <xdr:colOff>25652</xdr:colOff>
      <xdr:row>11</xdr:row>
      <xdr:rowOff>78147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9325" y="1371600"/>
          <a:ext cx="1444877" cy="487722"/>
        </a:xfrm>
        <a:prstGeom prst="rect">
          <a:avLst/>
        </a:prstGeom>
      </xdr:spPr>
    </xdr:pic>
    <xdr:clientData/>
  </xdr:twoCellAnchor>
  <xdr:twoCellAnchor editAs="oneCell">
    <xdr:from>
      <xdr:col>10</xdr:col>
      <xdr:colOff>365165</xdr:colOff>
      <xdr:row>7</xdr:row>
      <xdr:rowOff>66675</xdr:rowOff>
    </xdr:from>
    <xdr:to>
      <xdr:col>11</xdr:col>
      <xdr:colOff>1082927</xdr:colOff>
      <xdr:row>10</xdr:row>
      <xdr:rowOff>154347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19065" y="1200150"/>
          <a:ext cx="1698837" cy="5734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274760</xdr:colOff>
      <xdr:row>2</xdr:row>
      <xdr:rowOff>76200</xdr:rowOff>
    </xdr:from>
    <xdr:to>
      <xdr:col>12</xdr:col>
      <xdr:colOff>5129</xdr:colOff>
      <xdr:row>4</xdr:row>
      <xdr:rowOff>28575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0810" y="390525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65220" cy="495300"/>
    <xdr:pic>
      <xdr:nvPicPr>
        <xdr:cNvPr id="2" name="Imagem 2" descr="Lisboa2020_RGB1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1200" b="40601"/>
        <a:stretch>
          <a:fillRect/>
        </a:stretch>
      </xdr:blipFill>
      <xdr:spPr bwMode="auto">
        <a:xfrm>
          <a:off x="0" y="0"/>
          <a:ext cx="366522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1:K69"/>
  <sheetViews>
    <sheetView showGridLines="0" topLeftCell="A55" zoomScaleNormal="100" workbookViewId="0">
      <selection activeCell="B61" sqref="B61"/>
    </sheetView>
  </sheetViews>
  <sheetFormatPr defaultColWidth="9.140625" defaultRowHeight="12"/>
  <cols>
    <col min="1" max="1" width="3.5703125" style="191" customWidth="1"/>
    <col min="2" max="2" width="45.42578125" style="191" bestFit="1" customWidth="1"/>
    <col min="3" max="10" width="9.140625" style="191"/>
    <col min="11" max="11" width="9.140625" style="191" customWidth="1"/>
    <col min="12" max="16384" width="9.140625" style="191"/>
  </cols>
  <sheetData>
    <row r="1" spans="2:11" ht="7.5" customHeight="1" thickBot="1"/>
    <row r="2" spans="2:11" ht="87" customHeight="1" thickBot="1">
      <c r="B2" s="775" t="s">
        <v>192</v>
      </c>
      <c r="C2" s="776"/>
      <c r="D2" s="776"/>
      <c r="E2" s="776"/>
      <c r="F2" s="776"/>
      <c r="G2" s="776"/>
      <c r="H2" s="776"/>
      <c r="I2" s="776"/>
      <c r="J2" s="776"/>
      <c r="K2" s="777"/>
    </row>
    <row r="3" spans="2:11" ht="16.5" customHeight="1" thickBot="1"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2:11" ht="16.5" customHeight="1">
      <c r="B4" s="764" t="s">
        <v>191</v>
      </c>
      <c r="C4" s="765"/>
      <c r="D4" s="765"/>
      <c r="E4" s="765"/>
      <c r="F4" s="765"/>
      <c r="G4" s="765"/>
      <c r="H4" s="765"/>
      <c r="I4" s="765"/>
      <c r="J4" s="768"/>
      <c r="K4" s="769"/>
    </row>
    <row r="5" spans="2:11" ht="16.5" customHeight="1" thickBot="1">
      <c r="B5" s="766"/>
      <c r="C5" s="767"/>
      <c r="D5" s="767"/>
      <c r="E5" s="767"/>
      <c r="F5" s="767"/>
      <c r="G5" s="767"/>
      <c r="H5" s="767"/>
      <c r="I5" s="767"/>
      <c r="J5" s="770"/>
      <c r="K5" s="771"/>
    </row>
    <row r="6" spans="2:11" ht="17.25" customHeight="1" thickBot="1">
      <c r="B6" s="320"/>
    </row>
    <row r="7" spans="2:11" ht="15" customHeight="1">
      <c r="B7" s="764" t="s">
        <v>227</v>
      </c>
      <c r="C7" s="765"/>
      <c r="D7" s="765"/>
      <c r="E7" s="765"/>
      <c r="F7" s="765"/>
      <c r="G7" s="765"/>
      <c r="H7" s="765"/>
      <c r="I7" s="192"/>
      <c r="J7" s="192"/>
      <c r="K7" s="193"/>
    </row>
    <row r="8" spans="2:11" ht="15" customHeight="1">
      <c r="B8" s="196" t="s">
        <v>119</v>
      </c>
      <c r="C8" s="268"/>
      <c r="D8" s="268"/>
      <c r="E8" s="268"/>
      <c r="F8" s="268"/>
      <c r="G8" s="268"/>
      <c r="H8" s="268"/>
      <c r="I8" s="194"/>
      <c r="J8" s="194"/>
      <c r="K8" s="195"/>
    </row>
    <row r="9" spans="2:11" ht="15" customHeight="1">
      <c r="B9" s="196" t="s">
        <v>232</v>
      </c>
      <c r="C9" s="197"/>
      <c r="D9" s="197"/>
      <c r="E9" s="197"/>
      <c r="F9" s="197"/>
      <c r="G9" s="197"/>
      <c r="H9" s="194"/>
      <c r="I9" s="194"/>
      <c r="J9" s="194"/>
      <c r="K9" s="195"/>
    </row>
    <row r="10" spans="2:11" ht="15" customHeight="1">
      <c r="B10" s="196" t="s">
        <v>273</v>
      </c>
      <c r="C10" s="197"/>
      <c r="D10" s="197"/>
      <c r="E10" s="197"/>
      <c r="F10" s="197"/>
      <c r="G10" s="197"/>
      <c r="H10" s="194"/>
      <c r="I10" s="194"/>
      <c r="J10" s="194"/>
      <c r="K10" s="195"/>
    </row>
    <row r="11" spans="2:11" ht="15" customHeight="1">
      <c r="B11" s="196" t="s">
        <v>230</v>
      </c>
      <c r="C11" s="197"/>
      <c r="D11" s="197"/>
      <c r="E11" s="197"/>
      <c r="F11" s="197"/>
      <c r="G11" s="197"/>
      <c r="H11" s="194"/>
      <c r="I11" s="194"/>
      <c r="J11" s="194"/>
      <c r="K11" s="195"/>
    </row>
    <row r="12" spans="2:11" ht="15" customHeight="1">
      <c r="B12" s="196" t="s">
        <v>229</v>
      </c>
      <c r="C12" s="197"/>
      <c r="D12" s="197"/>
      <c r="E12" s="197"/>
      <c r="F12" s="197"/>
      <c r="G12" s="197"/>
      <c r="H12" s="194"/>
      <c r="I12" s="194"/>
      <c r="J12" s="194"/>
      <c r="K12" s="195"/>
    </row>
    <row r="13" spans="2:11" ht="15" customHeight="1">
      <c r="B13" s="196" t="s">
        <v>228</v>
      </c>
      <c r="C13" s="197"/>
      <c r="D13" s="197"/>
      <c r="E13" s="197"/>
      <c r="F13" s="197"/>
      <c r="G13" s="197"/>
      <c r="H13" s="194"/>
      <c r="I13" s="194"/>
      <c r="J13" s="194"/>
      <c r="K13" s="195"/>
    </row>
    <row r="14" spans="2:11" ht="15" customHeight="1">
      <c r="B14" s="196"/>
      <c r="C14" s="197"/>
      <c r="D14" s="197"/>
      <c r="E14" s="197"/>
      <c r="F14" s="197"/>
      <c r="G14" s="197"/>
      <c r="H14" s="194"/>
      <c r="I14" s="194"/>
      <c r="J14" s="194"/>
      <c r="K14" s="195"/>
    </row>
    <row r="15" spans="2:11" ht="15" customHeight="1">
      <c r="B15" s="787" t="s">
        <v>248</v>
      </c>
      <c r="C15" s="788"/>
      <c r="D15" s="788"/>
      <c r="E15" s="788"/>
      <c r="F15" s="788"/>
      <c r="G15" s="788"/>
      <c r="H15" s="788"/>
      <c r="I15" s="194"/>
      <c r="J15" s="194"/>
      <c r="K15" s="195"/>
    </row>
    <row r="16" spans="2:11" ht="15" customHeight="1">
      <c r="B16" s="196" t="s">
        <v>258</v>
      </c>
      <c r="C16" s="613"/>
      <c r="D16" s="613"/>
      <c r="E16" s="613"/>
      <c r="F16" s="613"/>
      <c r="G16" s="613"/>
      <c r="H16" s="194"/>
      <c r="I16" s="194"/>
      <c r="J16" s="194"/>
      <c r="K16" s="195"/>
    </row>
    <row r="17" spans="2:11" ht="15" customHeight="1">
      <c r="B17" s="196" t="s">
        <v>259</v>
      </c>
      <c r="C17" s="318"/>
      <c r="D17" s="318"/>
      <c r="E17" s="318"/>
      <c r="F17" s="318"/>
      <c r="G17" s="318"/>
      <c r="H17" s="194"/>
      <c r="I17" s="194"/>
      <c r="J17" s="194"/>
      <c r="K17" s="195"/>
    </row>
    <row r="18" spans="2:11" ht="15" customHeight="1">
      <c r="B18" s="196" t="s">
        <v>260</v>
      </c>
      <c r="C18" s="318"/>
      <c r="D18" s="318"/>
      <c r="E18" s="318"/>
      <c r="F18" s="318"/>
      <c r="G18" s="318"/>
      <c r="H18" s="194"/>
      <c r="I18" s="194"/>
      <c r="J18" s="194"/>
      <c r="K18" s="195"/>
    </row>
    <row r="19" spans="2:11" ht="15" customHeight="1">
      <c r="B19" s="196"/>
      <c r="C19" s="197"/>
      <c r="D19" s="197"/>
      <c r="E19" s="197"/>
      <c r="F19" s="197"/>
      <c r="G19" s="197"/>
      <c r="H19" s="194"/>
      <c r="I19" s="194"/>
      <c r="J19" s="194"/>
      <c r="K19" s="195"/>
    </row>
    <row r="20" spans="2:11" s="201" customFormat="1" ht="12.75" customHeight="1">
      <c r="B20" s="198" t="s">
        <v>58</v>
      </c>
      <c r="C20" s="199"/>
      <c r="D20" s="199"/>
      <c r="E20" s="199"/>
      <c r="F20" s="199"/>
      <c r="G20" s="199"/>
      <c r="H20" s="199"/>
      <c r="I20" s="199"/>
      <c r="J20" s="199"/>
      <c r="K20" s="200"/>
    </row>
    <row r="21" spans="2:11" s="201" customFormat="1" ht="6" customHeight="1">
      <c r="B21" s="202"/>
      <c r="C21" s="203"/>
      <c r="D21" s="203"/>
      <c r="E21" s="203"/>
      <c r="F21" s="203"/>
      <c r="G21" s="203"/>
      <c r="H21" s="203"/>
      <c r="I21" s="203"/>
      <c r="J21" s="203"/>
      <c r="K21" s="204"/>
    </row>
    <row r="22" spans="2:11" s="201" customFormat="1" ht="13.15">
      <c r="B22" s="205" t="s">
        <v>57</v>
      </c>
      <c r="C22" s="203"/>
      <c r="D22" s="203"/>
      <c r="E22" s="203"/>
      <c r="F22" s="203"/>
      <c r="G22" s="203"/>
      <c r="H22" s="203"/>
      <c r="I22" s="203"/>
      <c r="J22" s="203"/>
      <c r="K22" s="204"/>
    </row>
    <row r="23" spans="2:11" s="201" customFormat="1" ht="12.75">
      <c r="B23" s="206" t="s">
        <v>161</v>
      </c>
      <c r="C23" s="203"/>
      <c r="D23" s="203"/>
      <c r="E23" s="203"/>
      <c r="F23" s="203"/>
      <c r="G23" s="203"/>
      <c r="H23" s="203"/>
      <c r="I23" s="203"/>
      <c r="J23" s="203"/>
      <c r="K23" s="204"/>
    </row>
    <row r="24" spans="2:11" s="201" customFormat="1" ht="12" customHeight="1">
      <c r="B24" s="206" t="s">
        <v>188</v>
      </c>
      <c r="C24" s="203"/>
      <c r="D24" s="203"/>
      <c r="E24" s="203"/>
      <c r="F24" s="203"/>
      <c r="G24" s="203"/>
      <c r="H24" s="203"/>
      <c r="I24" s="203"/>
      <c r="J24" s="203"/>
      <c r="K24" s="204"/>
    </row>
    <row r="25" spans="2:11" s="201" customFormat="1" ht="12" customHeight="1">
      <c r="B25" s="206" t="s">
        <v>231</v>
      </c>
      <c r="C25" s="203"/>
      <c r="D25" s="203"/>
      <c r="E25" s="203"/>
      <c r="F25" s="203"/>
      <c r="G25" s="203"/>
      <c r="H25" s="203"/>
      <c r="I25" s="203"/>
      <c r="J25" s="203"/>
      <c r="K25" s="204"/>
    </row>
    <row r="26" spans="2:11" s="201" customFormat="1" ht="13.15">
      <c r="B26" s="206"/>
      <c r="C26" s="203"/>
      <c r="D26" s="203"/>
      <c r="E26" s="203"/>
      <c r="F26" s="203"/>
      <c r="G26" s="203"/>
      <c r="H26" s="203"/>
      <c r="I26" s="203"/>
      <c r="J26" s="203"/>
      <c r="K26" s="204"/>
    </row>
    <row r="27" spans="2:11" s="201" customFormat="1" ht="13.15">
      <c r="B27" s="205" t="s">
        <v>234</v>
      </c>
      <c r="C27" s="203"/>
      <c r="D27" s="203"/>
      <c r="E27" s="203"/>
      <c r="F27" s="203"/>
      <c r="G27" s="203"/>
      <c r="H27" s="203"/>
      <c r="I27" s="203"/>
      <c r="J27" s="203"/>
      <c r="K27" s="204"/>
    </row>
    <row r="28" spans="2:11" s="201" customFormat="1" ht="12.75">
      <c r="B28" s="206" t="s">
        <v>251</v>
      </c>
      <c r="C28" s="203"/>
      <c r="D28" s="203"/>
      <c r="E28" s="203"/>
      <c r="F28" s="203"/>
      <c r="G28" s="203"/>
      <c r="H28" s="203"/>
      <c r="I28" s="203"/>
      <c r="J28" s="203"/>
      <c r="K28" s="204"/>
    </row>
    <row r="29" spans="2:11" s="201" customFormat="1" ht="12.75">
      <c r="B29" s="206" t="s">
        <v>252</v>
      </c>
      <c r="C29" s="203"/>
      <c r="D29" s="203"/>
      <c r="E29" s="203"/>
      <c r="F29" s="203"/>
      <c r="G29" s="203"/>
      <c r="H29" s="203"/>
      <c r="I29" s="203"/>
      <c r="J29" s="203"/>
      <c r="K29" s="204"/>
    </row>
    <row r="30" spans="2:11" s="201" customFormat="1" ht="12.75">
      <c r="B30" s="206" t="s">
        <v>235</v>
      </c>
      <c r="C30" s="203"/>
      <c r="D30" s="203"/>
      <c r="E30" s="203"/>
      <c r="F30" s="203"/>
      <c r="G30" s="203"/>
      <c r="H30" s="203"/>
      <c r="I30" s="203"/>
      <c r="J30" s="203"/>
      <c r="K30" s="204"/>
    </row>
    <row r="31" spans="2:11" s="201" customFormat="1" ht="13.15">
      <c r="B31" s="206" t="s">
        <v>253</v>
      </c>
      <c r="C31" s="203"/>
      <c r="D31" s="203"/>
      <c r="E31" s="203"/>
      <c r="F31" s="203"/>
      <c r="G31" s="203"/>
      <c r="H31" s="203"/>
      <c r="I31" s="203"/>
      <c r="J31" s="203"/>
      <c r="K31" s="204"/>
    </row>
    <row r="32" spans="2:11" s="201" customFormat="1" ht="12.75">
      <c r="B32" s="206" t="s">
        <v>107</v>
      </c>
      <c r="C32" s="203"/>
      <c r="D32" s="203"/>
      <c r="E32" s="203"/>
      <c r="F32" s="203"/>
      <c r="G32" s="203"/>
      <c r="H32" s="203"/>
      <c r="I32" s="203"/>
      <c r="J32" s="203"/>
      <c r="K32" s="204"/>
    </row>
    <row r="33" spans="2:11" s="201" customFormat="1" ht="13.15">
      <c r="B33" s="206"/>
      <c r="C33" s="203"/>
      <c r="D33" s="203"/>
      <c r="E33" s="203"/>
      <c r="F33" s="203"/>
      <c r="G33" s="203"/>
      <c r="H33" s="203"/>
      <c r="I33" s="203"/>
      <c r="J33" s="203"/>
      <c r="K33" s="204"/>
    </row>
    <row r="34" spans="2:11" s="201" customFormat="1" ht="13.15">
      <c r="B34" s="205" t="s">
        <v>236</v>
      </c>
      <c r="C34" s="203"/>
      <c r="D34" s="203"/>
      <c r="E34" s="203"/>
      <c r="F34" s="203"/>
      <c r="G34" s="203"/>
      <c r="H34" s="203"/>
      <c r="I34" s="203"/>
      <c r="J34" s="203"/>
      <c r="K34" s="204"/>
    </row>
    <row r="35" spans="2:11" s="201" customFormat="1" ht="12.75">
      <c r="B35" s="206" t="s">
        <v>254</v>
      </c>
      <c r="C35" s="203"/>
      <c r="D35" s="203"/>
      <c r="E35" s="203"/>
      <c r="F35" s="203"/>
      <c r="G35" s="203"/>
      <c r="H35" s="203"/>
      <c r="I35" s="203"/>
      <c r="J35" s="203"/>
      <c r="K35" s="204"/>
    </row>
    <row r="36" spans="2:11" s="201" customFormat="1" ht="13.15">
      <c r="B36" s="206"/>
      <c r="C36" s="203"/>
      <c r="D36" s="203"/>
      <c r="E36" s="203"/>
      <c r="F36" s="203"/>
      <c r="G36" s="203"/>
      <c r="H36" s="203"/>
      <c r="I36" s="203"/>
      <c r="J36" s="203"/>
      <c r="K36" s="204"/>
    </row>
    <row r="37" spans="2:11" s="201" customFormat="1" ht="12.75">
      <c r="B37" s="384" t="s">
        <v>237</v>
      </c>
      <c r="C37" s="203"/>
      <c r="D37" s="203"/>
      <c r="E37" s="203"/>
      <c r="F37" s="203"/>
      <c r="G37" s="203"/>
      <c r="H37" s="203"/>
      <c r="I37" s="203"/>
      <c r="J37" s="203"/>
      <c r="K37" s="204"/>
    </row>
    <row r="38" spans="2:11" s="201" customFormat="1" ht="12.75">
      <c r="B38" s="206" t="s">
        <v>238</v>
      </c>
      <c r="C38" s="203"/>
      <c r="D38" s="203"/>
      <c r="E38" s="203"/>
      <c r="F38" s="203"/>
      <c r="G38" s="203"/>
      <c r="H38" s="203"/>
      <c r="I38" s="203"/>
      <c r="J38" s="203"/>
      <c r="K38" s="204"/>
    </row>
    <row r="39" spans="2:11" s="201" customFormat="1" ht="12.75">
      <c r="B39" s="206" t="s">
        <v>190</v>
      </c>
      <c r="C39" s="203"/>
      <c r="D39" s="203"/>
      <c r="E39" s="203"/>
      <c r="F39" s="203"/>
      <c r="G39" s="203"/>
      <c r="H39" s="203"/>
      <c r="I39" s="203"/>
      <c r="J39" s="203"/>
      <c r="K39" s="204"/>
    </row>
    <row r="40" spans="2:11" s="201" customFormat="1" ht="12.75">
      <c r="B40" s="791" t="s">
        <v>256</v>
      </c>
      <c r="C40" s="792"/>
      <c r="D40" s="792"/>
      <c r="E40" s="792"/>
      <c r="F40" s="792"/>
      <c r="G40" s="792"/>
      <c r="H40" s="792"/>
      <c r="I40" s="792"/>
      <c r="J40" s="792"/>
      <c r="K40" s="793"/>
    </row>
    <row r="41" spans="2:11" s="201" customFormat="1" ht="12.75">
      <c r="B41" s="206" t="s">
        <v>250</v>
      </c>
      <c r="C41" s="203"/>
      <c r="D41" s="203"/>
      <c r="E41" s="203"/>
      <c r="F41" s="203"/>
      <c r="G41" s="203"/>
      <c r="H41" s="203"/>
      <c r="I41" s="203"/>
      <c r="J41" s="203"/>
      <c r="K41" s="204"/>
    </row>
    <row r="42" spans="2:11" s="201" customFormat="1" ht="12.75">
      <c r="B42" s="206" t="s">
        <v>108</v>
      </c>
      <c r="C42" s="203"/>
      <c r="D42" s="203"/>
      <c r="E42" s="203"/>
      <c r="F42" s="203"/>
      <c r="G42" s="203"/>
      <c r="H42" s="203"/>
      <c r="I42" s="203"/>
      <c r="J42" s="203"/>
      <c r="K42" s="204"/>
    </row>
    <row r="43" spans="2:11" s="201" customFormat="1" ht="13.15">
      <c r="B43" s="207"/>
      <c r="C43" s="203"/>
      <c r="D43" s="203"/>
      <c r="E43" s="203"/>
      <c r="F43" s="203"/>
      <c r="G43" s="203"/>
      <c r="H43" s="203"/>
      <c r="I43" s="203"/>
      <c r="J43" s="203"/>
      <c r="K43" s="204"/>
    </row>
    <row r="44" spans="2:11" ht="13.5" customHeight="1">
      <c r="B44" s="321" t="s">
        <v>239</v>
      </c>
      <c r="C44" s="197"/>
      <c r="D44" s="197"/>
      <c r="E44" s="197"/>
      <c r="F44" s="197"/>
      <c r="G44" s="197"/>
      <c r="H44" s="194"/>
      <c r="I44" s="194"/>
      <c r="J44" s="194"/>
      <c r="K44" s="195"/>
    </row>
    <row r="45" spans="2:11" ht="13.5" customHeight="1">
      <c r="B45" s="206" t="s">
        <v>255</v>
      </c>
      <c r="C45" s="197"/>
      <c r="D45" s="197"/>
      <c r="E45" s="197"/>
      <c r="F45" s="197"/>
      <c r="G45" s="197"/>
      <c r="H45" s="194"/>
      <c r="I45" s="194"/>
      <c r="J45" s="194"/>
      <c r="K45" s="195"/>
    </row>
    <row r="46" spans="2:11" ht="13.5" customHeight="1">
      <c r="B46" s="206"/>
      <c r="C46" s="197"/>
      <c r="D46" s="197"/>
      <c r="E46" s="197"/>
      <c r="F46" s="197"/>
      <c r="G46" s="197"/>
      <c r="H46" s="194"/>
      <c r="I46" s="194"/>
      <c r="J46" s="194"/>
      <c r="K46" s="195"/>
    </row>
    <row r="47" spans="2:11" ht="13.5" customHeight="1">
      <c r="B47" s="321" t="s">
        <v>263</v>
      </c>
      <c r="C47" s="197"/>
      <c r="D47" s="197"/>
      <c r="E47" s="197"/>
      <c r="F47" s="197"/>
      <c r="G47" s="197"/>
      <c r="H47" s="194"/>
      <c r="I47" s="194"/>
      <c r="J47" s="194"/>
      <c r="K47" s="195"/>
    </row>
    <row r="48" spans="2:11" ht="13.5" customHeight="1">
      <c r="B48" s="207" t="s">
        <v>264</v>
      </c>
      <c r="C48" s="197"/>
      <c r="D48" s="197"/>
      <c r="E48" s="197"/>
      <c r="F48" s="197"/>
      <c r="G48" s="197"/>
      <c r="H48" s="194"/>
      <c r="I48" s="194"/>
      <c r="J48" s="194"/>
      <c r="K48" s="195"/>
    </row>
    <row r="49" spans="2:11" ht="13.5" customHeight="1">
      <c r="B49" s="206"/>
      <c r="C49" s="197"/>
      <c r="D49" s="197"/>
      <c r="E49" s="197"/>
      <c r="F49" s="197"/>
      <c r="G49" s="197"/>
      <c r="H49" s="194"/>
      <c r="I49" s="194"/>
      <c r="J49" s="194"/>
      <c r="K49" s="195"/>
    </row>
    <row r="50" spans="2:11" s="201" customFormat="1" ht="12.75">
      <c r="B50" s="205" t="s">
        <v>261</v>
      </c>
      <c r="C50" s="203"/>
      <c r="D50" s="203"/>
      <c r="E50" s="203"/>
      <c r="F50" s="203"/>
      <c r="G50" s="203"/>
      <c r="H50" s="203"/>
      <c r="I50" s="203"/>
      <c r="J50" s="203"/>
      <c r="K50" s="204"/>
    </row>
    <row r="51" spans="2:11" s="201" customFormat="1" ht="12.75">
      <c r="B51" s="206" t="s">
        <v>189</v>
      </c>
      <c r="C51" s="203"/>
      <c r="D51" s="203"/>
      <c r="E51" s="203"/>
      <c r="F51" s="203"/>
      <c r="G51" s="203"/>
      <c r="H51" s="203"/>
      <c r="I51" s="203"/>
      <c r="J51" s="203"/>
      <c r="K51" s="204"/>
    </row>
    <row r="52" spans="2:11" s="201" customFormat="1" ht="13.5" customHeight="1">
      <c r="B52" s="206"/>
      <c r="C52" s="203"/>
      <c r="D52" s="203"/>
      <c r="E52" s="203"/>
      <c r="F52" s="203"/>
      <c r="G52" s="203"/>
      <c r="H52" s="203"/>
      <c r="I52" s="203"/>
      <c r="J52" s="203"/>
      <c r="K52" s="204"/>
    </row>
    <row r="53" spans="2:11" ht="14.25" customHeight="1">
      <c r="B53" s="205" t="s">
        <v>262</v>
      </c>
      <c r="C53" s="316"/>
      <c r="D53" s="316"/>
      <c r="E53" s="316"/>
      <c r="F53" s="316"/>
      <c r="G53" s="316"/>
      <c r="H53" s="194"/>
      <c r="I53" s="194"/>
      <c r="J53" s="194"/>
      <c r="K53" s="195"/>
    </row>
    <row r="54" spans="2:11" ht="14.25" customHeight="1">
      <c r="B54" s="778" t="s">
        <v>257</v>
      </c>
      <c r="C54" s="779"/>
      <c r="D54" s="779"/>
      <c r="E54" s="779"/>
      <c r="F54" s="779"/>
      <c r="G54" s="779"/>
      <c r="H54" s="779"/>
      <c r="I54" s="779"/>
      <c r="J54" s="779"/>
      <c r="K54" s="780"/>
    </row>
    <row r="55" spans="2:11" ht="18" customHeight="1">
      <c r="B55" s="778"/>
      <c r="C55" s="779"/>
      <c r="D55" s="779"/>
      <c r="E55" s="779"/>
      <c r="F55" s="779"/>
      <c r="G55" s="779"/>
      <c r="H55" s="779"/>
      <c r="I55" s="779"/>
      <c r="J55" s="779"/>
      <c r="K55" s="780"/>
    </row>
    <row r="56" spans="2:11" ht="10.5" customHeight="1">
      <c r="B56" s="208"/>
      <c r="C56" s="209"/>
      <c r="D56" s="209"/>
      <c r="E56" s="209"/>
      <c r="F56" s="209"/>
      <c r="G56" s="209"/>
      <c r="H56" s="210"/>
      <c r="I56" s="210"/>
      <c r="J56" s="210"/>
      <c r="K56" s="211"/>
    </row>
    <row r="57" spans="2:11" ht="15" customHeight="1">
      <c r="B57" s="212" t="s">
        <v>55</v>
      </c>
      <c r="C57" s="213"/>
      <c r="D57" s="213"/>
      <c r="E57" s="213"/>
      <c r="F57" s="213"/>
      <c r="G57" s="213"/>
      <c r="H57" s="194"/>
      <c r="I57" s="194"/>
      <c r="J57" s="194"/>
      <c r="K57" s="195"/>
    </row>
    <row r="58" spans="2:11" ht="3.75" customHeight="1">
      <c r="B58" s="214"/>
      <c r="C58" s="213"/>
      <c r="D58" s="213"/>
      <c r="E58" s="213"/>
      <c r="F58" s="213"/>
      <c r="G58" s="213"/>
      <c r="H58" s="194"/>
      <c r="I58" s="194"/>
      <c r="J58" s="194"/>
      <c r="K58" s="195"/>
    </row>
    <row r="59" spans="2:11" ht="15" customHeight="1">
      <c r="B59" s="466" t="s">
        <v>240</v>
      </c>
      <c r="C59" s="213"/>
      <c r="D59" s="213"/>
      <c r="E59" s="213"/>
      <c r="F59" s="213"/>
      <c r="G59" s="213"/>
      <c r="H59" s="194"/>
      <c r="I59" s="194"/>
      <c r="J59" s="194"/>
      <c r="K59" s="195"/>
    </row>
    <row r="60" spans="2:11" ht="23.25" customHeight="1">
      <c r="B60" s="781" t="s">
        <v>243</v>
      </c>
      <c r="C60" s="782"/>
      <c r="D60" s="782"/>
      <c r="E60" s="782"/>
      <c r="F60" s="782"/>
      <c r="G60" s="782"/>
      <c r="H60" s="782"/>
      <c r="I60" s="782"/>
      <c r="J60" s="782"/>
      <c r="K60" s="783"/>
    </row>
    <row r="61" spans="2:11" ht="11.25" customHeight="1">
      <c r="B61" s="466" t="s">
        <v>242</v>
      </c>
      <c r="C61" s="317"/>
      <c r="D61" s="317"/>
      <c r="E61" s="317"/>
      <c r="F61" s="317"/>
      <c r="G61" s="317"/>
      <c r="H61" s="194"/>
      <c r="I61" s="194"/>
      <c r="J61" s="194"/>
      <c r="K61" s="195"/>
    </row>
    <row r="62" spans="2:11" ht="5.25" customHeight="1">
      <c r="B62" s="215"/>
      <c r="C62" s="216"/>
      <c r="D62" s="216"/>
      <c r="E62" s="216"/>
      <c r="F62" s="216"/>
      <c r="G62" s="216"/>
      <c r="H62" s="217"/>
      <c r="I62" s="217"/>
      <c r="J62" s="217"/>
      <c r="K62" s="218"/>
    </row>
    <row r="63" spans="2:11" ht="20.25" customHeight="1">
      <c r="B63" s="789" t="s">
        <v>241</v>
      </c>
      <c r="C63" s="790"/>
      <c r="D63" s="790"/>
      <c r="E63" s="790"/>
      <c r="F63" s="790"/>
      <c r="G63" s="790"/>
      <c r="H63" s="790"/>
      <c r="I63" s="194"/>
      <c r="J63" s="194"/>
      <c r="K63" s="195"/>
    </row>
    <row r="64" spans="2:11" ht="15" customHeight="1">
      <c r="B64" s="275"/>
      <c r="C64" s="276"/>
      <c r="D64" s="276"/>
      <c r="E64" s="276"/>
      <c r="F64" s="276"/>
      <c r="G64" s="276"/>
      <c r="H64" s="210"/>
      <c r="I64" s="210"/>
      <c r="J64" s="210"/>
      <c r="K64" s="211"/>
    </row>
    <row r="65" spans="2:11" ht="15" customHeight="1">
      <c r="B65" s="784" t="s">
        <v>154</v>
      </c>
      <c r="C65" s="785"/>
      <c r="D65" s="785"/>
      <c r="E65" s="785"/>
      <c r="F65" s="785"/>
      <c r="G65" s="785"/>
      <c r="H65" s="785"/>
      <c r="I65" s="785"/>
      <c r="J65" s="785"/>
      <c r="K65" s="786"/>
    </row>
    <row r="66" spans="2:11" ht="15" customHeight="1">
      <c r="B66" s="784"/>
      <c r="C66" s="785"/>
      <c r="D66" s="785"/>
      <c r="E66" s="785"/>
      <c r="F66" s="785"/>
      <c r="G66" s="785"/>
      <c r="H66" s="785"/>
      <c r="I66" s="785"/>
      <c r="J66" s="785"/>
      <c r="K66" s="786"/>
    </row>
    <row r="67" spans="2:11" ht="30.75" customHeight="1">
      <c r="B67" s="772" t="s">
        <v>56</v>
      </c>
      <c r="C67" s="773"/>
      <c r="D67" s="773"/>
      <c r="E67" s="773"/>
      <c r="F67" s="773"/>
      <c r="G67" s="773"/>
      <c r="H67" s="773"/>
      <c r="I67" s="773"/>
      <c r="J67" s="773"/>
      <c r="K67" s="774"/>
    </row>
    <row r="68" spans="2:11" ht="4.5" customHeight="1" thickBot="1">
      <c r="B68" s="219"/>
      <c r="C68" s="220"/>
      <c r="D68" s="220"/>
      <c r="E68" s="220"/>
      <c r="F68" s="220"/>
      <c r="G68" s="220"/>
      <c r="H68" s="221"/>
      <c r="I68" s="221"/>
      <c r="J68" s="221"/>
      <c r="K68" s="222"/>
    </row>
    <row r="69" spans="2:11" ht="7.5" customHeight="1"/>
  </sheetData>
  <sheetProtection password="CCE5" sheet="1" objects="1" scenarios="1"/>
  <mergeCells count="11">
    <mergeCell ref="B4:I5"/>
    <mergeCell ref="J4:K5"/>
    <mergeCell ref="B67:K67"/>
    <mergeCell ref="B2:K2"/>
    <mergeCell ref="B54:K55"/>
    <mergeCell ref="B60:K60"/>
    <mergeCell ref="B65:K66"/>
    <mergeCell ref="B7:H7"/>
    <mergeCell ref="B15:H15"/>
    <mergeCell ref="B63:H63"/>
    <mergeCell ref="B40:K40"/>
  </mergeCells>
  <pageMargins left="0.7" right="0.7" top="0.75" bottom="0.75" header="0.3" footer="0.3"/>
  <pageSetup paperSize="9" scale="66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7"/>
  <sheetViews>
    <sheetView showGridLines="0" zoomScaleNormal="100" workbookViewId="0">
      <selection activeCell="F10" sqref="F10"/>
    </sheetView>
  </sheetViews>
  <sheetFormatPr defaultColWidth="8.7109375" defaultRowHeight="15"/>
  <cols>
    <col min="1" max="1" width="28.140625" style="4" bestFit="1" customWidth="1"/>
    <col min="2" max="2" width="6.7109375" style="4" customWidth="1"/>
    <col min="3" max="3" width="14.5703125" style="4" customWidth="1"/>
    <col min="4" max="8" width="13.42578125" style="4" customWidth="1"/>
    <col min="9" max="9" width="17.5703125" style="4" customWidth="1"/>
    <col min="10" max="10" width="13.42578125" style="4" customWidth="1"/>
    <col min="11" max="11" width="3.5703125" style="4" customWidth="1"/>
    <col min="12" max="13" width="11.5703125" style="4" customWidth="1"/>
    <col min="14" max="14" width="12.7109375" style="4" customWidth="1"/>
    <col min="15" max="16384" width="8.7109375" style="4"/>
  </cols>
  <sheetData>
    <row r="1" spans="1:14" ht="26.25" customHeight="1">
      <c r="A1" s="971" t="s">
        <v>106</v>
      </c>
      <c r="B1" s="972"/>
      <c r="C1" s="972"/>
      <c r="D1" s="972"/>
      <c r="E1" s="972"/>
      <c r="F1" s="972"/>
      <c r="G1" s="972"/>
      <c r="H1" s="972"/>
      <c r="I1" s="972"/>
      <c r="J1" s="972"/>
      <c r="K1" s="25"/>
      <c r="L1" s="968" t="s">
        <v>275</v>
      </c>
      <c r="M1" s="969"/>
      <c r="N1" s="970"/>
    </row>
    <row r="2" spans="1:14">
      <c r="A2" s="270" t="s">
        <v>118</v>
      </c>
      <c r="B2" s="271">
        <v>3.6</v>
      </c>
      <c r="C2" s="269"/>
      <c r="D2" s="269"/>
      <c r="E2" s="269"/>
      <c r="F2" s="269"/>
      <c r="G2" s="269"/>
      <c r="H2" s="269"/>
      <c r="I2" s="269"/>
      <c r="J2" s="272"/>
      <c r="K2" s="28"/>
      <c r="L2" s="29"/>
      <c r="M2" s="31" t="s">
        <v>30</v>
      </c>
      <c r="N2" s="28"/>
    </row>
    <row r="3" spans="1:14">
      <c r="A3" s="273">
        <v>1</v>
      </c>
      <c r="B3" s="274">
        <v>2</v>
      </c>
      <c r="C3" s="274">
        <v>3</v>
      </c>
      <c r="D3" s="274">
        <v>4</v>
      </c>
      <c r="E3" s="274">
        <v>5</v>
      </c>
      <c r="F3" s="274">
        <v>6</v>
      </c>
      <c r="G3" s="274">
        <v>7</v>
      </c>
      <c r="H3" s="274">
        <v>8</v>
      </c>
      <c r="I3" s="274">
        <v>9</v>
      </c>
      <c r="J3" s="274">
        <v>10</v>
      </c>
      <c r="K3" s="28"/>
      <c r="L3" s="29"/>
      <c r="M3" s="32" t="s">
        <v>31</v>
      </c>
      <c r="N3" s="28"/>
    </row>
    <row r="4" spans="1:14">
      <c r="A4" s="273"/>
      <c r="B4" s="274"/>
      <c r="C4" s="976" t="s">
        <v>101</v>
      </c>
      <c r="D4" s="976" t="s">
        <v>96</v>
      </c>
      <c r="E4" s="976" t="s">
        <v>97</v>
      </c>
      <c r="F4" s="976" t="s">
        <v>98</v>
      </c>
      <c r="G4" s="976" t="s">
        <v>105</v>
      </c>
      <c r="H4" s="976" t="s">
        <v>102</v>
      </c>
      <c r="I4" s="976" t="s">
        <v>104</v>
      </c>
      <c r="J4" s="976" t="s">
        <v>103</v>
      </c>
      <c r="K4" s="28"/>
      <c r="L4" s="29"/>
      <c r="M4" s="30"/>
      <c r="N4" s="28"/>
    </row>
    <row r="5" spans="1:14" ht="15" customHeight="1">
      <c r="A5" s="33" t="s">
        <v>46</v>
      </c>
      <c r="B5" s="383"/>
      <c r="C5" s="976"/>
      <c r="D5" s="976"/>
      <c r="E5" s="976"/>
      <c r="F5" s="976"/>
      <c r="G5" s="976"/>
      <c r="H5" s="976"/>
      <c r="I5" s="976"/>
      <c r="J5" s="976"/>
      <c r="K5" s="28"/>
      <c r="L5" s="973"/>
      <c r="M5" s="974"/>
      <c r="N5" s="975"/>
    </row>
    <row r="6" spans="1:14">
      <c r="A6" s="34" t="s">
        <v>78</v>
      </c>
      <c r="B6" s="265"/>
      <c r="C6" s="35">
        <v>2.5</v>
      </c>
      <c r="D6" s="36"/>
      <c r="E6" s="37"/>
      <c r="F6" s="263">
        <v>2.1499999999999999E-4</v>
      </c>
      <c r="G6" s="36"/>
      <c r="H6" s="36"/>
      <c r="I6" s="38">
        <f>0.144*C6</f>
        <v>0.36</v>
      </c>
      <c r="J6" s="38">
        <v>0.47</v>
      </c>
      <c r="K6" s="28"/>
      <c r="L6" s="29"/>
      <c r="M6" s="40"/>
      <c r="N6" s="28"/>
    </row>
    <row r="7" spans="1:14">
      <c r="A7" s="34" t="s">
        <v>79</v>
      </c>
      <c r="B7" s="266"/>
      <c r="C7" s="35">
        <v>1</v>
      </c>
      <c r="D7" s="36">
        <f>+(42.3+43.3)/2</f>
        <v>42.8</v>
      </c>
      <c r="E7" s="37">
        <f>+(1.01+1.034)/2</f>
        <v>1.022</v>
      </c>
      <c r="F7" s="263">
        <f>+(E7/1000)*$B$2/D7</f>
        <v>8.5962616822429926E-5</v>
      </c>
      <c r="G7" s="36">
        <v>74</v>
      </c>
      <c r="H7" s="36">
        <v>3098.2</v>
      </c>
      <c r="I7" s="38">
        <f>0.267*C7</f>
        <v>0.26700000000000002</v>
      </c>
      <c r="J7" s="38">
        <f>H7*F7</f>
        <v>0.26632937943925239</v>
      </c>
      <c r="K7" s="28"/>
      <c r="L7" s="29"/>
      <c r="M7" s="40"/>
      <c r="N7" s="28"/>
    </row>
    <row r="8" spans="1:14">
      <c r="A8" s="39" t="s">
        <v>45</v>
      </c>
      <c r="B8" s="266"/>
      <c r="C8" s="35">
        <v>1</v>
      </c>
      <c r="D8" s="36">
        <v>45.1</v>
      </c>
      <c r="E8" s="37">
        <v>1.077</v>
      </c>
      <c r="F8" s="263">
        <f>+(E8/1000)*$B$2/D8</f>
        <v>8.5968957871396907E-5</v>
      </c>
      <c r="G8" s="36">
        <v>64.099999999999994</v>
      </c>
      <c r="H8" s="36">
        <v>2683.7</v>
      </c>
      <c r="I8" s="38">
        <f>0.202*C8</f>
        <v>0.20200000000000001</v>
      </c>
      <c r="J8" s="38">
        <f t="shared" ref="J8:J12" si="0">H8*F8</f>
        <v>0.23071489223946787</v>
      </c>
      <c r="K8" s="28"/>
      <c r="L8" s="973"/>
      <c r="M8" s="974"/>
      <c r="N8" s="975"/>
    </row>
    <row r="9" spans="1:14">
      <c r="A9" s="34" t="s">
        <v>76</v>
      </c>
      <c r="B9" s="266"/>
      <c r="C9" s="35">
        <v>1</v>
      </c>
      <c r="D9" s="36">
        <f>+(46+47.3)/2</f>
        <v>46.65</v>
      </c>
      <c r="E9" s="37">
        <f>+(1.099+1.13)/2</f>
        <v>1.1145</v>
      </c>
      <c r="F9" s="263">
        <f>+(E9/1000)*$B$2/D9</f>
        <v>8.6006430868167211E-5</v>
      </c>
      <c r="G9" s="36">
        <v>63</v>
      </c>
      <c r="H9" s="36">
        <v>2637.7</v>
      </c>
      <c r="I9" s="38">
        <f>0.17*C9</f>
        <v>0.17</v>
      </c>
      <c r="J9" s="38">
        <f t="shared" si="0"/>
        <v>0.22685916270096465</v>
      </c>
      <c r="K9" s="28"/>
      <c r="L9" s="29"/>
      <c r="M9" s="40"/>
      <c r="N9" s="28"/>
    </row>
    <row r="10" spans="1:14">
      <c r="A10" s="26" t="s">
        <v>80</v>
      </c>
      <c r="B10" s="266"/>
      <c r="C10" s="35">
        <v>1</v>
      </c>
      <c r="D10" s="36">
        <f>+(13.8+15.6)/2</f>
        <v>14.7</v>
      </c>
      <c r="E10" s="37">
        <f>+(0.33+0.373)/2</f>
        <v>0.35150000000000003</v>
      </c>
      <c r="F10" s="263">
        <f>+(E10/1000)*$B$2/D10</f>
        <v>8.6081632653061237E-5</v>
      </c>
      <c r="G10" s="36">
        <v>0</v>
      </c>
      <c r="H10" s="36">
        <v>0</v>
      </c>
      <c r="I10" s="38"/>
      <c r="J10" s="38"/>
      <c r="K10" s="28"/>
      <c r="L10" s="29"/>
      <c r="M10" s="40"/>
      <c r="N10" s="28"/>
    </row>
    <row r="11" spans="1:14">
      <c r="A11" s="26" t="s">
        <v>81</v>
      </c>
      <c r="B11" s="266"/>
      <c r="C11" s="35">
        <v>1</v>
      </c>
      <c r="D11" s="36">
        <v>16.8</v>
      </c>
      <c r="E11" s="37">
        <v>0.40100000000000002</v>
      </c>
      <c r="F11" s="263">
        <f>+(E11/1000)*$B$2/D11</f>
        <v>8.5928571428571434E-5</v>
      </c>
      <c r="G11" s="36">
        <v>0</v>
      </c>
      <c r="H11" s="36">
        <v>0</v>
      </c>
      <c r="I11" s="38"/>
      <c r="J11" s="38"/>
      <c r="K11" s="28"/>
      <c r="L11" s="29"/>
      <c r="M11" s="40"/>
      <c r="N11" s="28"/>
    </row>
    <row r="12" spans="1:14">
      <c r="A12" s="26" t="s">
        <v>75</v>
      </c>
      <c r="B12" s="266"/>
      <c r="C12" s="35">
        <v>1</v>
      </c>
      <c r="D12" s="35"/>
      <c r="E12" s="37"/>
      <c r="F12" s="263"/>
      <c r="G12" s="36">
        <v>0</v>
      </c>
      <c r="H12" s="36">
        <v>0</v>
      </c>
      <c r="I12" s="38">
        <v>0</v>
      </c>
      <c r="J12" s="38">
        <f t="shared" si="0"/>
        <v>0</v>
      </c>
      <c r="K12" s="28"/>
      <c r="L12" s="29"/>
      <c r="M12" s="40"/>
      <c r="N12" s="28"/>
    </row>
    <row r="13" spans="1:14">
      <c r="A13" s="26" t="s">
        <v>74</v>
      </c>
      <c r="B13" s="266"/>
      <c r="C13" s="35"/>
      <c r="D13" s="27"/>
      <c r="E13" s="27"/>
      <c r="F13" s="264"/>
      <c r="G13" s="27"/>
      <c r="H13" s="35"/>
      <c r="I13" s="35"/>
      <c r="J13" s="35"/>
      <c r="K13" s="28"/>
      <c r="L13" s="29"/>
      <c r="M13" s="40"/>
      <c r="N13" s="28"/>
    </row>
    <row r="14" spans="1:14">
      <c r="A14" s="26" t="str">
        <f>+""</f>
        <v/>
      </c>
      <c r="B14" s="267"/>
      <c r="C14" s="35"/>
      <c r="D14" s="27"/>
      <c r="E14" s="27"/>
      <c r="F14" s="264"/>
      <c r="G14" s="27"/>
      <c r="H14" s="35"/>
      <c r="I14" s="35"/>
      <c r="J14" s="35"/>
      <c r="K14" s="28"/>
      <c r="L14" s="29"/>
      <c r="M14" s="40"/>
      <c r="N14" s="28"/>
    </row>
    <row r="15" spans="1:14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28"/>
      <c r="L15" s="29"/>
      <c r="M15" s="40"/>
      <c r="N15" s="28"/>
    </row>
    <row r="16" spans="1:14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28"/>
      <c r="L16" s="29"/>
      <c r="M16" s="40"/>
      <c r="N16" s="28"/>
    </row>
    <row r="17" spans="1:14" ht="15.75" thickBo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3"/>
      <c r="L17" s="41"/>
      <c r="M17" s="42"/>
      <c r="N17" s="43"/>
    </row>
    <row r="18" spans="1:14">
      <c r="A18" s="966" t="s">
        <v>272</v>
      </c>
      <c r="B18" s="977"/>
      <c r="C18" s="286" t="s">
        <v>125</v>
      </c>
      <c r="D18" s="50"/>
      <c r="E18" s="50"/>
      <c r="F18" s="25"/>
      <c r="G18" s="966"/>
      <c r="H18" s="967"/>
      <c r="I18" s="484"/>
    </row>
    <row r="19" spans="1:14">
      <c r="A19" s="29"/>
      <c r="B19" s="28"/>
      <c r="C19" s="29"/>
      <c r="D19" s="30"/>
      <c r="E19" s="30"/>
      <c r="F19" s="28"/>
      <c r="G19" s="29"/>
      <c r="H19" s="30"/>
      <c r="I19" s="30"/>
      <c r="K19" s="44"/>
    </row>
    <row r="20" spans="1:14" s="20" customFormat="1" ht="15.75" customHeight="1">
      <c r="A20" s="287" t="s">
        <v>166</v>
      </c>
      <c r="B20" s="620">
        <v>0.85</v>
      </c>
      <c r="C20" s="287" t="s">
        <v>166</v>
      </c>
      <c r="D20" s="288">
        <v>0.95</v>
      </c>
      <c r="F20" s="80"/>
      <c r="G20" s="485"/>
      <c r="H20" s="486"/>
      <c r="I20" s="90"/>
      <c r="K20" s="46"/>
    </row>
    <row r="21" spans="1:14" s="30" customFormat="1" ht="15.75" customHeight="1">
      <c r="A21" s="29" t="s">
        <v>126</v>
      </c>
      <c r="B21" s="621">
        <v>0.85</v>
      </c>
      <c r="C21" s="29" t="s">
        <v>126</v>
      </c>
      <c r="D21" s="386">
        <v>0.95</v>
      </c>
      <c r="F21" s="28"/>
      <c r="G21" s="487"/>
      <c r="H21" s="121"/>
      <c r="I21" s="121"/>
      <c r="K21" s="47"/>
    </row>
    <row r="22" spans="1:14" s="30" customFormat="1" ht="15.75" customHeight="1">
      <c r="A22" s="289" t="s">
        <v>165</v>
      </c>
      <c r="B22" s="620">
        <v>0.85</v>
      </c>
      <c r="C22" s="289" t="s">
        <v>165</v>
      </c>
      <c r="D22" s="288">
        <v>0.95</v>
      </c>
      <c r="F22" s="28"/>
      <c r="G22" s="488"/>
      <c r="H22" s="90"/>
      <c r="K22" s="47"/>
    </row>
    <row r="23" spans="1:14" s="30" customFormat="1">
      <c r="A23" s="289" t="s">
        <v>127</v>
      </c>
      <c r="B23" s="622">
        <v>0.5</v>
      </c>
      <c r="C23" s="289" t="s">
        <v>127</v>
      </c>
      <c r="D23" s="285">
        <v>0.5</v>
      </c>
      <c r="F23" s="28"/>
      <c r="G23" s="29"/>
      <c r="K23" s="47"/>
    </row>
    <row r="24" spans="1:14" s="30" customFormat="1">
      <c r="A24" s="289" t="s">
        <v>128</v>
      </c>
      <c r="B24" s="622">
        <v>0.8</v>
      </c>
      <c r="C24" s="289" t="s">
        <v>128</v>
      </c>
      <c r="D24" s="285">
        <v>0.8</v>
      </c>
      <c r="F24" s="28"/>
      <c r="G24" s="29"/>
      <c r="K24" s="47"/>
    </row>
    <row r="25" spans="1:14" s="30" customFormat="1" ht="15.75" thickBot="1">
      <c r="A25" s="41"/>
      <c r="B25" s="43"/>
      <c r="C25" s="41"/>
      <c r="D25" s="42"/>
      <c r="E25" s="42"/>
      <c r="F25" s="43"/>
      <c r="G25" s="29"/>
      <c r="K25" s="47"/>
    </row>
    <row r="26" spans="1:14" s="30" customFormat="1">
      <c r="C26" s="4"/>
      <c r="D26" s="4"/>
      <c r="E26" s="4"/>
      <c r="F26" s="4"/>
      <c r="K26" s="11"/>
      <c r="L26" s="11"/>
      <c r="M26" s="11"/>
    </row>
    <row r="27" spans="1:14">
      <c r="G27" s="30"/>
      <c r="H27" s="30"/>
      <c r="I27" s="30"/>
    </row>
  </sheetData>
  <sheetProtection password="CCE5" sheet="1" objects="1" scenarios="1"/>
  <mergeCells count="14">
    <mergeCell ref="G18:H18"/>
    <mergeCell ref="L1:N1"/>
    <mergeCell ref="A1:J1"/>
    <mergeCell ref="L8:N8"/>
    <mergeCell ref="L5:N5"/>
    <mergeCell ref="C4:C5"/>
    <mergeCell ref="D4:D5"/>
    <mergeCell ref="E4:E5"/>
    <mergeCell ref="F4:F5"/>
    <mergeCell ref="G4:G5"/>
    <mergeCell ref="H4:H5"/>
    <mergeCell ref="I4:I5"/>
    <mergeCell ref="J4:J5"/>
    <mergeCell ref="A18:B1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21"/>
  <sheetViews>
    <sheetView topLeftCell="A10" zoomScaleNormal="100" workbookViewId="0">
      <selection activeCell="C17" sqref="C17"/>
    </sheetView>
  </sheetViews>
  <sheetFormatPr defaultColWidth="8.85546875" defaultRowHeight="15"/>
  <cols>
    <col min="1" max="1" width="14.140625" style="733" customWidth="1"/>
    <col min="2" max="2" width="4.5703125" style="733" customWidth="1"/>
    <col min="3" max="3" width="43.28515625" style="733" customWidth="1"/>
    <col min="4" max="4" width="9.140625" style="733" hidden="1" customWidth="1"/>
    <col min="5" max="5" width="6.5703125" style="733" hidden="1" customWidth="1"/>
    <col min="6" max="6" width="7" style="733" customWidth="1"/>
    <col min="7" max="7" width="31.42578125" style="733" customWidth="1"/>
    <col min="8" max="8" width="13.85546875" style="733" customWidth="1"/>
    <col min="9" max="9" width="33.28515625" style="733" customWidth="1"/>
    <col min="10" max="10" width="16.28515625" style="733" customWidth="1"/>
    <col min="11" max="11" width="43.7109375" style="733" customWidth="1"/>
    <col min="12" max="16384" width="8.85546875" style="733"/>
  </cols>
  <sheetData>
    <row r="1" spans="1:11" s="758" customFormat="1" ht="14.45">
      <c r="B1" s="759"/>
      <c r="C1" s="759"/>
      <c r="D1" s="759"/>
      <c r="E1" s="759"/>
      <c r="F1" s="759"/>
      <c r="G1" s="759"/>
      <c r="H1" s="759"/>
      <c r="I1" s="759"/>
      <c r="J1" s="759"/>
      <c r="K1" s="759"/>
    </row>
    <row r="2" spans="1:11" s="758" customFormat="1" ht="14.45">
      <c r="B2" s="759"/>
      <c r="C2" s="759"/>
      <c r="D2" s="759"/>
      <c r="E2" s="759"/>
      <c r="F2" s="759"/>
      <c r="G2" s="759"/>
      <c r="H2" s="759"/>
      <c r="I2" s="759"/>
      <c r="J2" s="759"/>
      <c r="K2" s="759"/>
    </row>
    <row r="3" spans="1:11" s="758" customFormat="1" ht="14.45">
      <c r="B3" s="759"/>
      <c r="C3" s="759"/>
      <c r="D3" s="759"/>
      <c r="E3" s="759"/>
      <c r="F3" s="759"/>
      <c r="G3" s="759"/>
      <c r="H3" s="759"/>
      <c r="I3" s="759"/>
      <c r="J3" s="759"/>
      <c r="K3" s="759"/>
    </row>
    <row r="4" spans="1:11" s="758" customFormat="1" ht="14.45">
      <c r="B4" s="759"/>
      <c r="C4" s="759"/>
      <c r="D4" s="759"/>
      <c r="E4" s="759"/>
      <c r="F4" s="759"/>
      <c r="G4" s="759"/>
      <c r="H4" s="759"/>
      <c r="I4" s="759"/>
      <c r="J4" s="759"/>
      <c r="K4" s="759"/>
    </row>
    <row r="5" spans="1:11" s="757" customFormat="1" ht="12.75">
      <c r="A5" s="979" t="s">
        <v>348</v>
      </c>
      <c r="B5" s="979"/>
      <c r="C5" s="979"/>
      <c r="D5" s="979"/>
      <c r="E5" s="979"/>
      <c r="F5" s="979"/>
      <c r="G5" s="979"/>
      <c r="H5" s="979"/>
      <c r="I5" s="979"/>
      <c r="J5" s="979"/>
      <c r="K5" s="979"/>
    </row>
    <row r="6" spans="1:11" s="753" customFormat="1" ht="35.450000000000003" customHeight="1">
      <c r="A6" s="980" t="s">
        <v>347</v>
      </c>
      <c r="B6" s="980"/>
      <c r="C6" s="980"/>
      <c r="D6" s="980"/>
      <c r="E6" s="980"/>
      <c r="F6" s="980"/>
      <c r="G6" s="980"/>
      <c r="H6" s="980"/>
      <c r="I6" s="980"/>
      <c r="J6" s="980"/>
      <c r="K6" s="980"/>
    </row>
    <row r="7" spans="1:11" s="757" customFormat="1" ht="12.75">
      <c r="A7" s="979" t="s">
        <v>346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</row>
    <row r="8" spans="1:11" s="753" customFormat="1" ht="13.9">
      <c r="A8" s="755"/>
      <c r="B8" s="755"/>
      <c r="C8" s="754"/>
      <c r="D8" s="754"/>
      <c r="E8" s="754"/>
      <c r="F8" s="754"/>
      <c r="G8" s="754"/>
      <c r="H8" s="754"/>
      <c r="I8" s="754"/>
      <c r="J8" s="754"/>
      <c r="K8" s="754"/>
    </row>
    <row r="9" spans="1:11" s="756" customFormat="1" ht="15.75">
      <c r="A9" s="981" t="s">
        <v>345</v>
      </c>
      <c r="B9" s="981"/>
      <c r="C9" s="981"/>
      <c r="D9" s="981"/>
      <c r="E9" s="981"/>
      <c r="F9" s="981"/>
      <c r="G9" s="981"/>
      <c r="H9" s="981"/>
      <c r="I9" s="981"/>
      <c r="J9" s="981"/>
      <c r="K9" s="981"/>
    </row>
    <row r="10" spans="1:11" s="753" customFormat="1" ht="12.75">
      <c r="A10" s="982" t="s">
        <v>344</v>
      </c>
      <c r="B10" s="982"/>
      <c r="C10" s="982"/>
      <c r="D10" s="982"/>
      <c r="E10" s="982"/>
      <c r="F10" s="982"/>
      <c r="G10" s="982"/>
      <c r="H10" s="982"/>
      <c r="I10" s="982"/>
      <c r="J10" s="982"/>
      <c r="K10" s="982"/>
    </row>
    <row r="11" spans="1:11" s="753" customFormat="1" ht="13.9">
      <c r="A11" s="755"/>
      <c r="B11" s="755"/>
      <c r="C11" s="754"/>
      <c r="D11" s="754"/>
      <c r="E11" s="754"/>
      <c r="F11" s="754"/>
      <c r="G11" s="754"/>
      <c r="H11" s="754"/>
      <c r="I11" s="754"/>
      <c r="J11" s="754"/>
      <c r="K11" s="754"/>
    </row>
    <row r="12" spans="1:11" s="752" customFormat="1" ht="30.6" customHeight="1">
      <c r="A12" s="978" t="s">
        <v>343</v>
      </c>
      <c r="B12" s="978"/>
      <c r="C12" s="978"/>
      <c r="D12" s="978"/>
      <c r="E12" s="978"/>
      <c r="F12" s="978"/>
      <c r="G12" s="978"/>
      <c r="H12" s="978"/>
      <c r="I12" s="978"/>
      <c r="J12" s="978"/>
      <c r="K12" s="978"/>
    </row>
    <row r="13" spans="1:11" s="743" customFormat="1" ht="13.9" customHeight="1">
      <c r="A13" s="984" t="s">
        <v>342</v>
      </c>
      <c r="B13" s="984"/>
      <c r="C13" s="984"/>
      <c r="D13" s="985" t="s">
        <v>341</v>
      </c>
      <c r="E13" s="985" t="s">
        <v>340</v>
      </c>
      <c r="F13" s="984" t="s">
        <v>339</v>
      </c>
      <c r="G13" s="987" t="s">
        <v>338</v>
      </c>
      <c r="H13" s="988"/>
      <c r="I13" s="988"/>
      <c r="J13" s="988"/>
      <c r="K13" s="989"/>
    </row>
    <row r="14" spans="1:11" s="743" customFormat="1" ht="12.75">
      <c r="A14" s="985"/>
      <c r="B14" s="985"/>
      <c r="C14" s="985"/>
      <c r="D14" s="986"/>
      <c r="E14" s="986"/>
      <c r="F14" s="985"/>
      <c r="G14" s="751">
        <v>5</v>
      </c>
      <c r="H14" s="751">
        <v>4</v>
      </c>
      <c r="I14" s="751">
        <v>3</v>
      </c>
      <c r="J14" s="751">
        <v>2</v>
      </c>
      <c r="K14" s="751">
        <v>1</v>
      </c>
    </row>
    <row r="15" spans="1:11" s="743" customFormat="1" ht="72">
      <c r="A15" s="750" t="s">
        <v>337</v>
      </c>
      <c r="B15" s="741" t="s">
        <v>297</v>
      </c>
      <c r="C15" s="747" t="s">
        <v>336</v>
      </c>
      <c r="D15" s="746">
        <v>0.15</v>
      </c>
      <c r="E15" s="746">
        <v>0.3</v>
      </c>
      <c r="F15" s="745">
        <v>0.3</v>
      </c>
      <c r="G15" s="749" t="s">
        <v>296</v>
      </c>
      <c r="H15" s="737"/>
      <c r="I15" s="749" t="s">
        <v>295</v>
      </c>
      <c r="J15" s="737"/>
      <c r="K15" s="737"/>
    </row>
    <row r="16" spans="1:11" s="743" customFormat="1" ht="48">
      <c r="A16" s="748" t="s">
        <v>335</v>
      </c>
      <c r="B16" s="741" t="s">
        <v>293</v>
      </c>
      <c r="C16" s="747" t="s">
        <v>334</v>
      </c>
      <c r="D16" s="746">
        <v>0.2</v>
      </c>
      <c r="E16" s="746">
        <v>0.3</v>
      </c>
      <c r="F16" s="745">
        <v>0.3</v>
      </c>
      <c r="G16" s="744" t="s">
        <v>333</v>
      </c>
      <c r="H16" s="737"/>
      <c r="I16" s="744" t="s">
        <v>332</v>
      </c>
      <c r="J16" s="737"/>
      <c r="K16" s="744" t="s">
        <v>331</v>
      </c>
    </row>
    <row r="17" spans="1:11" s="735" customFormat="1" ht="48">
      <c r="A17" s="990" t="s">
        <v>330</v>
      </c>
      <c r="B17" s="741" t="s">
        <v>288</v>
      </c>
      <c r="C17" s="742" t="s">
        <v>329</v>
      </c>
      <c r="D17" s="738">
        <v>0.2</v>
      </c>
      <c r="E17" s="739">
        <v>0.4</v>
      </c>
      <c r="F17" s="738">
        <v>0.35</v>
      </c>
      <c r="G17" s="736" t="s">
        <v>287</v>
      </c>
      <c r="H17" s="737"/>
      <c r="I17" s="736" t="s">
        <v>286</v>
      </c>
      <c r="J17" s="737"/>
      <c r="K17" s="736" t="s">
        <v>285</v>
      </c>
    </row>
    <row r="18" spans="1:11" s="735" customFormat="1" ht="72">
      <c r="A18" s="991"/>
      <c r="B18" s="741" t="s">
        <v>283</v>
      </c>
      <c r="C18" s="740" t="s">
        <v>328</v>
      </c>
      <c r="D18" s="739">
        <v>0.05</v>
      </c>
      <c r="E18" s="739">
        <v>0.1</v>
      </c>
      <c r="F18" s="738">
        <v>0.05</v>
      </c>
      <c r="G18" s="736" t="s">
        <v>282</v>
      </c>
      <c r="H18" s="737"/>
      <c r="I18" s="737"/>
      <c r="J18" s="737"/>
      <c r="K18" s="736" t="s">
        <v>281</v>
      </c>
    </row>
    <row r="19" spans="1:11" ht="22.9" customHeight="1">
      <c r="A19" s="983" t="s">
        <v>327</v>
      </c>
      <c r="B19" s="983"/>
      <c r="C19" s="983"/>
      <c r="D19" s="983"/>
      <c r="E19" s="983"/>
      <c r="F19" s="983"/>
      <c r="G19" s="983"/>
      <c r="H19" s="983"/>
      <c r="I19" s="983"/>
      <c r="J19" s="983"/>
      <c r="K19" s="983"/>
    </row>
    <row r="20" spans="1:11" ht="14.45">
      <c r="F20" s="734">
        <f>SUM(F15:F18)</f>
        <v>1</v>
      </c>
    </row>
    <row r="21" spans="1:11">
      <c r="G21" s="733" t="s">
        <v>326</v>
      </c>
    </row>
  </sheetData>
  <sheetProtection password="CCE5" sheet="1" objects="1" scenarios="1"/>
  <mergeCells count="13">
    <mergeCell ref="A19:K19"/>
    <mergeCell ref="A13:C14"/>
    <mergeCell ref="D13:D14"/>
    <mergeCell ref="E13:E14"/>
    <mergeCell ref="F13:F14"/>
    <mergeCell ref="G13:K13"/>
    <mergeCell ref="A17:A18"/>
    <mergeCell ref="A12:K12"/>
    <mergeCell ref="A5:K5"/>
    <mergeCell ref="A6:K6"/>
    <mergeCell ref="A7:K7"/>
    <mergeCell ref="A9:K9"/>
    <mergeCell ref="A10:K10"/>
  </mergeCells>
  <printOptions horizontalCentered="1"/>
  <pageMargins left="0.19685039370078741" right="0.15748031496062992" top="0.51181102362204722" bottom="0.31496062992125984" header="0.35433070866141736" footer="0.15748031496062992"/>
  <pageSetup paperSize="8" scale="90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1:W49"/>
  <sheetViews>
    <sheetView showGridLines="0" topLeftCell="B34" zoomScaleNormal="100" workbookViewId="0">
      <selection activeCell="D43" sqref="D43"/>
    </sheetView>
  </sheetViews>
  <sheetFormatPr defaultColWidth="9.140625" defaultRowHeight="15"/>
  <cols>
    <col min="1" max="1" width="9.140625" style="3"/>
    <col min="2" max="2" width="8.7109375" style="1" bestFit="1" customWidth="1"/>
    <col min="3" max="3" width="49.7109375" style="2" customWidth="1"/>
    <col min="4" max="4" width="37.7109375" style="3" bestFit="1" customWidth="1"/>
    <col min="5" max="8" width="20.5703125" style="3" customWidth="1"/>
    <col min="9" max="9" width="33.140625" style="3" customWidth="1"/>
    <col min="10" max="10" width="30.42578125" style="3" customWidth="1"/>
    <col min="11" max="11" width="29.42578125" style="3" customWidth="1"/>
    <col min="12" max="12" width="9.5703125" style="3" customWidth="1"/>
    <col min="13" max="13" width="15.5703125" style="3" customWidth="1"/>
    <col min="14" max="14" width="16.140625" style="3" customWidth="1"/>
    <col min="15" max="15" width="18.5703125" style="3" customWidth="1"/>
    <col min="16" max="16" width="18" style="3" customWidth="1"/>
    <col min="17" max="17" width="11.85546875" style="3" customWidth="1"/>
    <col min="18" max="18" width="18.5703125" style="3" customWidth="1"/>
    <col min="19" max="19" width="18.28515625" style="3" customWidth="1"/>
    <col min="20" max="20" width="11.140625" style="3" customWidth="1"/>
    <col min="21" max="22" width="8.7109375" style="4"/>
    <col min="23" max="23" width="12.85546875" style="3" bestFit="1" customWidth="1"/>
    <col min="24" max="16384" width="9.140625" style="3"/>
  </cols>
  <sheetData>
    <row r="1" spans="2:23" ht="15.75" thickBot="1"/>
    <row r="2" spans="2:23">
      <c r="B2" s="5"/>
      <c r="C2" s="6"/>
      <c r="D2" s="7"/>
      <c r="E2" s="7"/>
      <c r="F2" s="7"/>
      <c r="G2" s="7"/>
      <c r="H2" s="7"/>
      <c r="I2" s="8"/>
    </row>
    <row r="3" spans="2:23" ht="18" customHeight="1">
      <c r="B3" s="15"/>
      <c r="C3" s="342" t="s">
        <v>157</v>
      </c>
      <c r="D3" s="11"/>
      <c r="E3" s="11"/>
      <c r="F3" s="11"/>
      <c r="G3" s="11"/>
      <c r="H3" s="11"/>
      <c r="I3" s="12"/>
    </row>
    <row r="4" spans="2:23" ht="18" customHeight="1">
      <c r="B4" s="15"/>
      <c r="C4" s="342"/>
      <c r="D4" s="11"/>
      <c r="E4" s="11"/>
      <c r="F4" s="11"/>
      <c r="G4" s="11"/>
      <c r="H4" s="11"/>
      <c r="I4" s="12"/>
    </row>
    <row r="5" spans="2:23">
      <c r="B5" s="15"/>
      <c r="C5" s="479" t="s">
        <v>198</v>
      </c>
      <c r="D5" s="797" t="s">
        <v>265</v>
      </c>
      <c r="E5" s="797"/>
      <c r="F5" s="797"/>
      <c r="G5" s="11"/>
      <c r="H5" s="11"/>
      <c r="I5" s="12"/>
    </row>
    <row r="6" spans="2:23" s="343" customFormat="1">
      <c r="B6" s="344"/>
      <c r="C6" s="479" t="s">
        <v>142</v>
      </c>
      <c r="D6" s="798"/>
      <c r="E6" s="798"/>
      <c r="F6" s="798"/>
      <c r="G6" s="798"/>
      <c r="H6" s="798"/>
      <c r="I6" s="345"/>
      <c r="J6" s="346"/>
      <c r="K6" s="346"/>
      <c r="L6" s="346"/>
      <c r="M6" s="346"/>
      <c r="N6" s="346"/>
      <c r="O6" s="346"/>
      <c r="P6" s="347"/>
    </row>
    <row r="7" spans="2:23" s="343" customFormat="1">
      <c r="B7" s="344"/>
      <c r="C7" s="479" t="s">
        <v>141</v>
      </c>
      <c r="D7" s="798"/>
      <c r="E7" s="798"/>
      <c r="F7" s="798"/>
      <c r="G7" s="798"/>
      <c r="H7" s="798"/>
      <c r="I7" s="345"/>
      <c r="J7" s="346"/>
      <c r="K7" s="346"/>
      <c r="L7" s="346"/>
      <c r="M7" s="346"/>
      <c r="N7" s="346"/>
      <c r="O7" s="346"/>
      <c r="P7" s="347"/>
    </row>
    <row r="8" spans="2:23" s="343" customFormat="1">
      <c r="B8" s="344"/>
      <c r="C8" s="479" t="s">
        <v>162</v>
      </c>
      <c r="D8" s="483" t="s">
        <v>244</v>
      </c>
      <c r="G8" s="382"/>
      <c r="H8" s="389"/>
      <c r="I8" s="345"/>
      <c r="J8" s="346"/>
      <c r="K8" s="346"/>
      <c r="L8" s="346"/>
      <c r="M8" s="346"/>
      <c r="N8" s="346"/>
      <c r="O8" s="346"/>
      <c r="P8" s="347"/>
    </row>
    <row r="9" spans="2:23" s="343" customFormat="1">
      <c r="B9" s="344"/>
      <c r="C9" s="479" t="s">
        <v>158</v>
      </c>
      <c r="D9" s="597"/>
      <c r="F9" s="351"/>
      <c r="G9" s="351"/>
      <c r="H9" s="352"/>
      <c r="I9" s="353"/>
      <c r="J9" s="354"/>
      <c r="K9" s="354"/>
      <c r="L9" s="354"/>
      <c r="M9" s="354"/>
      <c r="N9" s="354"/>
      <c r="O9" s="352"/>
      <c r="P9" s="355"/>
    </row>
    <row r="10" spans="2:23" s="343" customFormat="1" ht="15.75" customHeight="1">
      <c r="B10" s="344"/>
      <c r="C10" s="467"/>
      <c r="D10" s="467"/>
      <c r="E10" s="351"/>
      <c r="F10" s="351"/>
      <c r="G10" s="351"/>
      <c r="H10" s="352"/>
      <c r="I10" s="353"/>
      <c r="J10" s="354"/>
      <c r="K10" s="354"/>
      <c r="L10" s="354"/>
      <c r="M10" s="354"/>
      <c r="N10" s="354"/>
      <c r="O10" s="352"/>
      <c r="P10" s="355"/>
    </row>
    <row r="11" spans="2:23" s="343" customFormat="1">
      <c r="B11" s="344"/>
      <c r="C11" s="348" t="s">
        <v>132</v>
      </c>
      <c r="D11" s="349" t="s">
        <v>193</v>
      </c>
      <c r="E11" s="350"/>
      <c r="F11" s="351"/>
      <c r="G11" s="351"/>
      <c r="H11" s="352"/>
      <c r="I11" s="353"/>
      <c r="J11" s="357"/>
      <c r="K11" s="357"/>
      <c r="L11" s="358"/>
      <c r="M11" s="359"/>
      <c r="N11" s="359"/>
      <c r="O11" s="360"/>
      <c r="P11" s="361"/>
    </row>
    <row r="12" spans="2:23" s="343" customFormat="1">
      <c r="B12" s="344"/>
      <c r="C12" s="356" t="s">
        <v>134</v>
      </c>
      <c r="D12" s="795" t="s">
        <v>194</v>
      </c>
      <c r="E12" s="795"/>
      <c r="F12" s="795"/>
      <c r="G12" s="795"/>
      <c r="H12" s="795"/>
      <c r="I12" s="796"/>
      <c r="J12" s="364"/>
      <c r="K12" s="364"/>
      <c r="L12" s="364"/>
      <c r="M12" s="364"/>
      <c r="N12" s="364"/>
      <c r="O12" s="364"/>
      <c r="P12" s="365"/>
      <c r="Q12" s="343" t="s">
        <v>138</v>
      </c>
      <c r="R12" s="365"/>
      <c r="S12" s="365"/>
      <c r="T12" s="365"/>
      <c r="U12" s="365"/>
      <c r="V12" s="365"/>
      <c r="W12" s="365"/>
    </row>
    <row r="13" spans="2:23" s="343" customFormat="1">
      <c r="B13" s="344"/>
      <c r="C13" s="356" t="s">
        <v>195</v>
      </c>
      <c r="D13" s="478" t="s">
        <v>196</v>
      </c>
      <c r="E13" s="350"/>
      <c r="F13" s="362"/>
      <c r="G13" s="362"/>
      <c r="H13" s="362"/>
      <c r="I13" s="363"/>
      <c r="J13" s="357"/>
      <c r="K13" s="357"/>
      <c r="L13" s="358"/>
      <c r="M13" s="370"/>
      <c r="N13" s="370"/>
      <c r="O13" s="351"/>
      <c r="P13" s="304"/>
    </row>
    <row r="14" spans="2:23" s="343" customFormat="1">
      <c r="B14" s="344"/>
      <c r="C14" s="366" t="s">
        <v>139</v>
      </c>
      <c r="D14" s="367" t="s">
        <v>197</v>
      </c>
      <c r="E14" s="350"/>
      <c r="F14" s="351"/>
      <c r="G14" s="351"/>
      <c r="H14" s="368"/>
      <c r="I14" s="369"/>
      <c r="J14" s="371"/>
      <c r="K14" s="371"/>
      <c r="L14" s="371"/>
    </row>
    <row r="15" spans="2:23" s="343" customFormat="1">
      <c r="B15" s="344"/>
      <c r="C15" s="366"/>
      <c r="D15" s="367"/>
      <c r="E15" s="350"/>
      <c r="F15" s="351"/>
      <c r="G15" s="351"/>
      <c r="H15" s="368"/>
      <c r="I15" s="369"/>
      <c r="J15" s="371"/>
      <c r="K15" s="371"/>
      <c r="L15" s="371"/>
    </row>
    <row r="16" spans="2:23" s="343" customFormat="1" ht="17.25" customHeight="1">
      <c r="B16" s="344"/>
      <c r="C16" s="366" t="s">
        <v>140</v>
      </c>
      <c r="D16" s="399"/>
      <c r="E16" s="367"/>
      <c r="F16" s="372"/>
      <c r="G16" s="372"/>
      <c r="I16" s="373"/>
      <c r="J16" s="794"/>
      <c r="K16" s="794"/>
      <c r="N16" s="374"/>
      <c r="O16" s="374"/>
    </row>
    <row r="17" spans="2:22" s="343" customFormat="1" ht="15.75" thickBot="1">
      <c r="B17" s="375"/>
      <c r="C17" s="376"/>
      <c r="D17" s="377"/>
      <c r="E17" s="377"/>
      <c r="F17" s="378"/>
      <c r="G17" s="378"/>
      <c r="H17" s="379"/>
      <c r="I17" s="380"/>
      <c r="J17" s="381"/>
      <c r="K17" s="381"/>
      <c r="N17" s="374"/>
      <c r="O17" s="374"/>
    </row>
    <row r="18" spans="2:22" ht="15.75" thickBot="1">
      <c r="B18" s="480"/>
      <c r="C18" s="481"/>
      <c r="D18" s="482"/>
      <c r="E18" s="482"/>
      <c r="F18" s="482"/>
      <c r="G18" s="482"/>
      <c r="H18" s="482"/>
      <c r="I18" s="482"/>
    </row>
    <row r="19" spans="2:22" ht="18" customHeight="1">
      <c r="B19" s="799" t="s">
        <v>199</v>
      </c>
      <c r="C19" s="800"/>
      <c r="D19" s="800"/>
      <c r="E19" s="800"/>
      <c r="F19" s="800"/>
      <c r="G19" s="800"/>
      <c r="H19" s="800"/>
      <c r="I19" s="801"/>
    </row>
    <row r="20" spans="2:22" ht="18.75" customHeight="1" thickBot="1">
      <c r="B20" s="802"/>
      <c r="C20" s="803"/>
      <c r="D20" s="803"/>
      <c r="E20" s="803"/>
      <c r="F20" s="803"/>
      <c r="G20" s="803"/>
      <c r="H20" s="803"/>
      <c r="I20" s="804"/>
    </row>
    <row r="21" spans="2:22" ht="15.75" thickBot="1">
      <c r="B21" s="480"/>
      <c r="C21" s="481"/>
      <c r="D21" s="482"/>
      <c r="E21" s="482"/>
      <c r="F21" s="482"/>
      <c r="G21" s="482"/>
      <c r="H21" s="482"/>
      <c r="I21" s="482"/>
      <c r="K21" s="13"/>
      <c r="L21" s="13"/>
      <c r="U21" s="3"/>
      <c r="V21" s="3"/>
    </row>
    <row r="22" spans="2:22">
      <c r="B22" s="5"/>
      <c r="C22" s="6"/>
      <c r="D22" s="7"/>
      <c r="E22" s="7"/>
      <c r="F22" s="7"/>
      <c r="G22" s="7"/>
      <c r="H22" s="7"/>
      <c r="I22" s="8"/>
      <c r="U22" s="3"/>
      <c r="V22" s="3"/>
    </row>
    <row r="23" spans="2:22" ht="21" customHeight="1">
      <c r="B23" s="395"/>
      <c r="C23" s="805" t="s">
        <v>200</v>
      </c>
      <c r="D23" s="805"/>
      <c r="E23" s="805"/>
      <c r="F23" s="805"/>
      <c r="G23" s="805"/>
      <c r="H23" s="805"/>
      <c r="I23" s="806"/>
      <c r="U23" s="3"/>
      <c r="V23" s="3"/>
    </row>
    <row r="24" spans="2:22">
      <c r="B24" s="9"/>
      <c r="C24" s="14"/>
      <c r="D24" s="11"/>
      <c r="E24" s="11"/>
      <c r="F24" s="11"/>
      <c r="G24" s="11"/>
      <c r="H24" s="11"/>
      <c r="I24" s="12"/>
      <c r="U24" s="3"/>
      <c r="V24" s="3"/>
    </row>
    <row r="25" spans="2:22">
      <c r="B25" s="9"/>
      <c r="C25" s="807" t="s">
        <v>201</v>
      </c>
      <c r="D25" s="807"/>
      <c r="E25" s="807"/>
      <c r="F25" s="807"/>
      <c r="G25" s="807"/>
      <c r="H25" s="807"/>
      <c r="I25" s="12"/>
    </row>
    <row r="26" spans="2:22">
      <c r="B26" s="9"/>
      <c r="C26" s="394" t="s">
        <v>40</v>
      </c>
      <c r="D26" s="808"/>
      <c r="E26" s="809"/>
      <c r="F26" s="809"/>
      <c r="G26" s="809"/>
      <c r="H26" s="810"/>
      <c r="I26" s="12"/>
    </row>
    <row r="27" spans="2:22">
      <c r="B27" s="9"/>
      <c r="C27" s="394" t="s">
        <v>41</v>
      </c>
      <c r="D27" s="400"/>
      <c r="E27" s="11"/>
      <c r="F27" s="11"/>
      <c r="G27" s="11"/>
      <c r="H27" s="11"/>
      <c r="I27" s="12"/>
    </row>
    <row r="28" spans="2:22" ht="15" customHeight="1">
      <c r="B28" s="9"/>
      <c r="C28" s="394" t="s">
        <v>42</v>
      </c>
      <c r="D28" s="401"/>
      <c r="E28" s="11"/>
      <c r="F28" s="11"/>
      <c r="G28" s="11"/>
      <c r="H28" s="11"/>
      <c r="I28" s="12"/>
    </row>
    <row r="29" spans="2:22">
      <c r="B29" s="9"/>
      <c r="C29" s="14"/>
      <c r="D29" s="11"/>
      <c r="E29" s="11"/>
      <c r="F29" s="11"/>
      <c r="G29" s="11"/>
      <c r="H29" s="11"/>
      <c r="I29" s="12"/>
    </row>
    <row r="30" spans="2:22">
      <c r="B30" s="9"/>
      <c r="C30" s="807" t="s">
        <v>179</v>
      </c>
      <c r="D30" s="807"/>
      <c r="E30" s="807"/>
      <c r="F30" s="807"/>
      <c r="G30" s="807"/>
      <c r="H30" s="807"/>
      <c r="I30" s="12"/>
    </row>
    <row r="31" spans="2:22">
      <c r="B31" s="9"/>
      <c r="C31" s="394" t="s">
        <v>180</v>
      </c>
      <c r="D31" s="808"/>
      <c r="E31" s="809"/>
      <c r="F31" s="809"/>
      <c r="G31" s="809"/>
      <c r="H31" s="810"/>
      <c r="I31" s="12"/>
    </row>
    <row r="32" spans="2:22">
      <c r="B32" s="9"/>
      <c r="C32" s="394" t="s">
        <v>24</v>
      </c>
      <c r="D32" s="402"/>
      <c r="E32" s="11"/>
      <c r="F32" s="11"/>
      <c r="G32" s="11"/>
      <c r="H32" s="11"/>
      <c r="I32" s="12"/>
    </row>
    <row r="33" spans="2:22">
      <c r="B33" s="9"/>
      <c r="C33" s="394" t="s">
        <v>41</v>
      </c>
      <c r="D33" s="403"/>
      <c r="E33" s="11"/>
      <c r="F33" s="11"/>
      <c r="G33" s="11"/>
      <c r="H33" s="11"/>
      <c r="I33" s="12"/>
    </row>
    <row r="34" spans="2:22">
      <c r="B34" s="9"/>
      <c r="C34" s="394" t="s">
        <v>42</v>
      </c>
      <c r="D34" s="402"/>
      <c r="E34" s="11"/>
      <c r="F34" s="11"/>
      <c r="G34" s="11"/>
      <c r="H34" s="11"/>
      <c r="I34" s="12"/>
    </row>
    <row r="35" spans="2:22">
      <c r="B35" s="9"/>
      <c r="C35" s="14"/>
      <c r="D35" s="11"/>
      <c r="E35" s="11"/>
      <c r="F35" s="11"/>
      <c r="G35" s="11"/>
      <c r="H35" s="11"/>
      <c r="I35" s="12"/>
    </row>
    <row r="36" spans="2:22">
      <c r="B36" s="9"/>
      <c r="C36" s="807" t="s">
        <v>181</v>
      </c>
      <c r="D36" s="807"/>
      <c r="E36" s="807"/>
      <c r="F36" s="807"/>
      <c r="G36" s="807"/>
      <c r="H36" s="807"/>
      <c r="I36" s="12"/>
    </row>
    <row r="37" spans="2:22">
      <c r="B37" s="9"/>
      <c r="C37" s="16" t="s">
        <v>120</v>
      </c>
      <c r="D37" s="808"/>
      <c r="E37" s="809"/>
      <c r="F37" s="809"/>
      <c r="G37" s="809"/>
      <c r="H37" s="810"/>
      <c r="I37" s="12"/>
    </row>
    <row r="38" spans="2:22">
      <c r="B38" s="9"/>
      <c r="C38" s="394" t="s">
        <v>43</v>
      </c>
      <c r="D38" s="402"/>
      <c r="E38" s="11"/>
      <c r="F38" s="11"/>
      <c r="G38" s="11"/>
      <c r="H38" s="11"/>
      <c r="I38" s="12"/>
    </row>
    <row r="39" spans="2:22">
      <c r="B39" s="9"/>
      <c r="C39" s="394" t="s">
        <v>44</v>
      </c>
      <c r="D39" s="402"/>
      <c r="E39" s="11"/>
      <c r="F39" s="11"/>
      <c r="G39" s="11"/>
      <c r="H39" s="11"/>
      <c r="I39" s="12"/>
    </row>
    <row r="40" spans="2:22">
      <c r="B40" s="9"/>
      <c r="C40" s="14"/>
      <c r="D40" s="11"/>
      <c r="E40" s="11"/>
      <c r="F40" s="11"/>
      <c r="G40" s="11"/>
      <c r="H40" s="11"/>
      <c r="I40" s="12"/>
      <c r="Q40" s="4"/>
      <c r="R40" s="4"/>
      <c r="U40" s="3"/>
      <c r="V40" s="3"/>
    </row>
    <row r="41" spans="2:22">
      <c r="B41" s="9"/>
      <c r="C41" s="807" t="s">
        <v>182</v>
      </c>
      <c r="D41" s="807"/>
      <c r="E41" s="807"/>
      <c r="F41" s="807"/>
      <c r="G41" s="807"/>
      <c r="H41" s="807"/>
      <c r="I41" s="12"/>
      <c r="Q41" s="4"/>
      <c r="R41" s="4"/>
      <c r="U41" s="3"/>
      <c r="V41" s="3"/>
    </row>
    <row r="42" spans="2:22">
      <c r="B42" s="9"/>
      <c r="C42" s="17" t="s">
        <v>8</v>
      </c>
      <c r="D42" s="396" t="s">
        <v>78</v>
      </c>
      <c r="E42" s="11"/>
      <c r="F42" s="11"/>
      <c r="G42" s="11"/>
      <c r="H42" s="11"/>
      <c r="I42" s="12"/>
      <c r="Q42" s="4"/>
      <c r="R42" s="4"/>
      <c r="U42" s="3"/>
      <c r="V42" s="3"/>
    </row>
    <row r="43" spans="2:22">
      <c r="B43" s="9"/>
      <c r="C43" s="319" t="s">
        <v>186</v>
      </c>
      <c r="D43" s="406"/>
      <c r="E43" s="617" t="s">
        <v>279</v>
      </c>
      <c r="F43" s="11"/>
      <c r="G43" s="11"/>
      <c r="H43" s="11"/>
      <c r="I43" s="12"/>
      <c r="Q43" s="4"/>
      <c r="R43" s="4"/>
      <c r="U43" s="3"/>
      <c r="V43" s="3"/>
    </row>
    <row r="44" spans="2:22" ht="18">
      <c r="B44" s="9"/>
      <c r="C44" s="319" t="s">
        <v>185</v>
      </c>
      <c r="D44" s="464">
        <f>D43*'9. Fatores de conversão'!C6</f>
        <v>0</v>
      </c>
      <c r="E44" s="11"/>
      <c r="F44" s="11"/>
      <c r="G44" s="11"/>
      <c r="H44" s="11"/>
      <c r="I44" s="12"/>
      <c r="Q44" s="4"/>
      <c r="R44" s="4"/>
      <c r="U44" s="3"/>
      <c r="V44" s="3"/>
    </row>
    <row r="45" spans="2:22">
      <c r="B45" s="9"/>
      <c r="C45" s="319" t="s">
        <v>183</v>
      </c>
      <c r="D45" s="464">
        <f>D44*0.000086</f>
        <v>0</v>
      </c>
      <c r="E45" s="11"/>
      <c r="F45" s="11"/>
      <c r="G45" s="11"/>
      <c r="H45" s="11"/>
      <c r="I45" s="12"/>
      <c r="Q45" s="4"/>
      <c r="R45" s="4"/>
      <c r="U45" s="3"/>
      <c r="V45" s="3"/>
    </row>
    <row r="46" spans="2:22">
      <c r="B46" s="9"/>
      <c r="C46" s="17" t="s">
        <v>8</v>
      </c>
      <c r="D46" s="396" t="str">
        <f>+D42</f>
        <v>Energia Elétrica</v>
      </c>
      <c r="E46" s="11"/>
      <c r="F46" s="11"/>
      <c r="G46" s="11"/>
      <c r="H46" s="11"/>
      <c r="I46" s="12"/>
      <c r="Q46" s="4"/>
      <c r="R46" s="4"/>
      <c r="U46" s="3"/>
      <c r="V46" s="3"/>
    </row>
    <row r="47" spans="2:22">
      <c r="B47" s="9"/>
      <c r="C47" s="16" t="s">
        <v>99</v>
      </c>
      <c r="D47" s="405"/>
      <c r="E47" s="11"/>
      <c r="F47" s="11"/>
      <c r="G47" s="11"/>
      <c r="H47" s="11"/>
      <c r="I47" s="12"/>
    </row>
    <row r="48" spans="2:22">
      <c r="B48" s="9"/>
      <c r="C48" s="18" t="s">
        <v>184</v>
      </c>
      <c r="D48" s="463">
        <f>D43*D47</f>
        <v>0</v>
      </c>
      <c r="E48" s="11"/>
      <c r="F48" s="11"/>
      <c r="G48" s="11"/>
      <c r="H48" s="11"/>
      <c r="I48" s="12"/>
    </row>
    <row r="49" spans="2:9" ht="15.75" thickBot="1">
      <c r="B49" s="21"/>
      <c r="C49" s="22"/>
      <c r="D49" s="23"/>
      <c r="E49" s="23"/>
      <c r="F49" s="23"/>
      <c r="G49" s="23"/>
      <c r="H49" s="23"/>
      <c r="I49" s="24"/>
    </row>
  </sheetData>
  <sheetProtection password="CCE5" sheet="1" objects="1" scenarios="1" selectLockedCells="1"/>
  <protectedRanges>
    <protectedRange sqref="D38:D39 D47 D26:H26 D31:H34 D37:H37" name="Folha1"/>
    <protectedRange sqref="D27" name="Folha1_8"/>
    <protectedRange sqref="D28" name="Folha1_10"/>
    <protectedRange sqref="D7:H7" name="Intervalo1"/>
  </protectedRanges>
  <mergeCells count="14">
    <mergeCell ref="B19:I20"/>
    <mergeCell ref="C23:I23"/>
    <mergeCell ref="C36:H36"/>
    <mergeCell ref="D37:H37"/>
    <mergeCell ref="C41:H41"/>
    <mergeCell ref="C25:H25"/>
    <mergeCell ref="D26:H26"/>
    <mergeCell ref="C30:H30"/>
    <mergeCell ref="D31:H31"/>
    <mergeCell ref="J16:K16"/>
    <mergeCell ref="D12:I12"/>
    <mergeCell ref="D5:F5"/>
    <mergeCell ref="D7:H7"/>
    <mergeCell ref="D6:H6"/>
  </mergeCells>
  <pageMargins left="0.7" right="0.7" top="0.75" bottom="0.75" header="0.3" footer="0.3"/>
  <pageSetup paperSize="9" orientation="portrait" r:id="rId1"/>
  <ignoredErrors>
    <ignoredError sqref="D4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Z123"/>
  <sheetViews>
    <sheetView showGridLines="0" zoomScale="85" zoomScaleNormal="85" workbookViewId="0">
      <selection activeCell="Y15" sqref="Y15"/>
    </sheetView>
  </sheetViews>
  <sheetFormatPr defaultColWidth="9.140625" defaultRowHeight="15"/>
  <cols>
    <col min="1" max="2" width="9.140625" style="3"/>
    <col min="3" max="3" width="11.5703125" style="1" customWidth="1"/>
    <col min="4" max="4" width="47.42578125" style="3" customWidth="1"/>
    <col min="5" max="5" width="40.28515625" style="3" customWidth="1"/>
    <col min="6" max="6" width="54.42578125" style="3" customWidth="1"/>
    <col min="7" max="7" width="18.85546875" style="3" customWidth="1"/>
    <col min="8" max="10" width="13.5703125" style="3" customWidth="1"/>
    <col min="11" max="11" width="13.85546875" style="3" customWidth="1"/>
    <col min="12" max="12" width="15.7109375" style="3" customWidth="1"/>
    <col min="13" max="15" width="13.5703125" style="3" customWidth="1"/>
    <col min="16" max="16" width="13.42578125" style="3" customWidth="1"/>
    <col min="17" max="17" width="14.85546875" style="3" customWidth="1"/>
    <col min="18" max="18" width="19.5703125" style="3" customWidth="1"/>
    <col min="19" max="19" width="18.28515625" style="3" customWidth="1"/>
    <col min="20" max="21" width="13.5703125" style="3" customWidth="1"/>
    <col min="22" max="22" width="15.28515625" style="3" customWidth="1"/>
    <col min="23" max="23" width="18.42578125" style="3" customWidth="1"/>
    <col min="24" max="24" width="16.42578125" style="3" customWidth="1"/>
    <col min="25" max="25" width="18" style="3" customWidth="1"/>
    <col min="26" max="26" width="13.5703125" style="3" customWidth="1"/>
    <col min="27" max="27" width="18.7109375" style="4" customWidth="1"/>
    <col min="28" max="28" width="17.42578125" style="4" customWidth="1"/>
    <col min="29" max="29" width="15.7109375" style="3" customWidth="1"/>
    <col min="30" max="30" width="15.85546875" style="3" customWidth="1"/>
    <col min="31" max="31" width="21.42578125" style="3" customWidth="1"/>
    <col min="32" max="32" width="17.140625" style="3" customWidth="1"/>
    <col min="33" max="35" width="13.5703125" style="3" customWidth="1"/>
    <col min="36" max="36" width="25.7109375" style="3" customWidth="1"/>
    <col min="37" max="40" width="18.5703125" style="3" customWidth="1"/>
    <col min="41" max="41" width="46" style="3" customWidth="1"/>
    <col min="42" max="44" width="11.28515625" style="3" customWidth="1"/>
    <col min="45" max="16384" width="9.140625" style="3"/>
  </cols>
  <sheetData>
    <row r="1" spans="2:52" ht="15.75" thickBot="1"/>
    <row r="2" spans="2:52">
      <c r="B2" s="48"/>
      <c r="C2" s="4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50"/>
      <c r="X2" s="5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</row>
    <row r="3" spans="2:52" ht="21">
      <c r="B3" s="15"/>
      <c r="C3" s="805" t="s">
        <v>25</v>
      </c>
      <c r="D3" s="805"/>
      <c r="E3" s="805"/>
      <c r="F3" s="260"/>
      <c r="G3" s="260"/>
      <c r="H3" s="278"/>
      <c r="I3" s="26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L3" s="12"/>
    </row>
    <row r="4" spans="2:52" ht="50.25" customHeight="1">
      <c r="B4" s="15"/>
      <c r="C4" s="821" t="s">
        <v>121</v>
      </c>
      <c r="D4" s="821"/>
      <c r="E4" s="821"/>
      <c r="F4" s="821"/>
      <c r="G4" s="821"/>
      <c r="H4" s="821"/>
      <c r="I4" s="82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30"/>
      <c r="X4" s="30"/>
      <c r="Y4" s="11"/>
      <c r="Z4" s="11"/>
      <c r="AA4" s="11"/>
      <c r="AB4" s="11"/>
      <c r="AL4" s="12"/>
    </row>
    <row r="5" spans="2:52" ht="38.25" customHeight="1" thickBot="1">
      <c r="B5" s="15"/>
      <c r="C5" s="822" t="s">
        <v>26</v>
      </c>
      <c r="D5" s="822"/>
      <c r="E5" s="822"/>
      <c r="F5" s="261"/>
      <c r="G5" s="261"/>
      <c r="H5" s="279"/>
      <c r="I5" s="261"/>
      <c r="J5" s="11"/>
      <c r="K5" s="11"/>
      <c r="L5" s="11"/>
      <c r="M5" s="11"/>
      <c r="N5" s="11"/>
      <c r="O5" s="11"/>
      <c r="W5" s="4"/>
      <c r="X5" s="4"/>
      <c r="AA5" s="3"/>
      <c r="AB5" s="3"/>
      <c r="AL5" s="12"/>
      <c r="AM5" s="11"/>
      <c r="AN5" s="11"/>
      <c r="AO5" s="11"/>
      <c r="AP5" s="11"/>
      <c r="AQ5" s="11"/>
    </row>
    <row r="6" spans="2:52" s="55" customFormat="1" ht="15" customHeight="1" thickBot="1">
      <c r="B6" s="51"/>
      <c r="C6" s="52"/>
      <c r="D6" s="52"/>
      <c r="E6" s="53"/>
      <c r="F6" s="53"/>
      <c r="G6" s="53"/>
      <c r="H6" s="823" t="s">
        <v>11</v>
      </c>
      <c r="I6" s="824"/>
      <c r="J6" s="824"/>
      <c r="K6" s="824"/>
      <c r="L6" s="825"/>
      <c r="M6" s="823" t="s">
        <v>12</v>
      </c>
      <c r="N6" s="824"/>
      <c r="O6" s="824"/>
      <c r="P6" s="824"/>
      <c r="Q6" s="825"/>
      <c r="R6" s="823" t="s">
        <v>214</v>
      </c>
      <c r="S6" s="824"/>
      <c r="T6" s="824"/>
      <c r="U6" s="824"/>
      <c r="V6" s="824"/>
      <c r="W6" s="825"/>
      <c r="X6" s="823" t="s">
        <v>218</v>
      </c>
      <c r="Y6" s="824"/>
      <c r="Z6" s="824"/>
      <c r="AA6" s="825"/>
      <c r="AB6" s="818" t="s">
        <v>0</v>
      </c>
      <c r="AC6" s="819"/>
      <c r="AD6" s="819"/>
      <c r="AE6" s="819"/>
      <c r="AF6" s="820"/>
      <c r="AG6" s="538"/>
      <c r="AH6" s="539"/>
      <c r="AI6" s="539"/>
      <c r="AJ6" s="539"/>
      <c r="AK6" s="539"/>
      <c r="AL6" s="54"/>
      <c r="AO6" s="53"/>
      <c r="AP6" s="53"/>
      <c r="AQ6" s="53"/>
      <c r="AR6" s="53"/>
      <c r="AS6" s="53"/>
    </row>
    <row r="7" spans="2:52" s="62" customFormat="1" ht="51.75" customHeight="1" thickBot="1">
      <c r="B7" s="56"/>
      <c r="C7" s="57"/>
      <c r="D7" s="57"/>
      <c r="E7" s="58"/>
      <c r="F7" s="58"/>
      <c r="G7" s="640" t="s">
        <v>277</v>
      </c>
      <c r="H7" s="114" t="s">
        <v>276</v>
      </c>
      <c r="I7" s="548" t="s">
        <v>278</v>
      </c>
      <c r="J7" s="634" t="s">
        <v>266</v>
      </c>
      <c r="K7" s="115" t="s">
        <v>100</v>
      </c>
      <c r="L7" s="635" t="s">
        <v>77</v>
      </c>
      <c r="M7" s="114" t="s">
        <v>211</v>
      </c>
      <c r="N7" s="117" t="s">
        <v>209</v>
      </c>
      <c r="O7" s="623" t="s">
        <v>266</v>
      </c>
      <c r="P7" s="468" t="s">
        <v>100</v>
      </c>
      <c r="Q7" s="519" t="s">
        <v>77</v>
      </c>
      <c r="R7" s="66" t="s">
        <v>215</v>
      </c>
      <c r="S7" s="462" t="s">
        <v>48</v>
      </c>
      <c r="T7" s="468" t="s">
        <v>2</v>
      </c>
      <c r="U7" s="817" t="s">
        <v>3</v>
      </c>
      <c r="V7" s="817"/>
      <c r="W7" s="460" t="s">
        <v>83</v>
      </c>
      <c r="X7" s="517" t="s">
        <v>84</v>
      </c>
      <c r="Y7" s="59" t="s">
        <v>49</v>
      </c>
      <c r="Z7" s="60" t="s">
        <v>88</v>
      </c>
      <c r="AA7" s="460" t="s">
        <v>89</v>
      </c>
      <c r="AB7" s="61" t="s">
        <v>93</v>
      </c>
      <c r="AC7" s="59" t="s">
        <v>53</v>
      </c>
      <c r="AD7" s="468" t="s">
        <v>216</v>
      </c>
      <c r="AE7" s="526" t="s">
        <v>217</v>
      </c>
      <c r="AF7" s="460" t="s">
        <v>1</v>
      </c>
      <c r="AG7" s="540"/>
      <c r="AH7" s="541"/>
      <c r="AI7" s="541"/>
      <c r="AJ7" s="541"/>
      <c r="AK7" s="541"/>
      <c r="AL7" s="54"/>
      <c r="AU7" s="58"/>
      <c r="AV7" s="58"/>
      <c r="AW7" s="58"/>
      <c r="AX7" s="58"/>
      <c r="AY7" s="58"/>
      <c r="AZ7" s="58"/>
    </row>
    <row r="8" spans="2:52" s="62" customFormat="1" ht="63" customHeight="1">
      <c r="B8" s="56"/>
      <c r="C8" s="63" t="s">
        <v>9</v>
      </c>
      <c r="D8" s="474" t="s">
        <v>27</v>
      </c>
      <c r="E8" s="64" t="s">
        <v>10</v>
      </c>
      <c r="F8" s="64" t="s">
        <v>28</v>
      </c>
      <c r="G8" s="475" t="s">
        <v>52</v>
      </c>
      <c r="H8" s="458" t="s">
        <v>122</v>
      </c>
      <c r="I8" s="476" t="s">
        <v>123</v>
      </c>
      <c r="J8" s="631" t="s">
        <v>78</v>
      </c>
      <c r="K8" s="632" t="s">
        <v>4</v>
      </c>
      <c r="L8" s="633" t="s">
        <v>5</v>
      </c>
      <c r="M8" s="458" t="s">
        <v>122</v>
      </c>
      <c r="N8" s="65" t="s">
        <v>123</v>
      </c>
      <c r="O8" s="477" t="s">
        <v>78</v>
      </c>
      <c r="P8" s="67" t="s">
        <v>4</v>
      </c>
      <c r="Q8" s="450" t="s">
        <v>5</v>
      </c>
      <c r="R8" s="66" t="s">
        <v>78</v>
      </c>
      <c r="S8" s="67" t="s">
        <v>5</v>
      </c>
      <c r="T8" s="67" t="s">
        <v>6</v>
      </c>
      <c r="U8" s="67" t="s">
        <v>82</v>
      </c>
      <c r="V8" s="67" t="s">
        <v>4</v>
      </c>
      <c r="W8" s="450" t="s">
        <v>7</v>
      </c>
      <c r="X8" s="477" t="s">
        <v>5</v>
      </c>
      <c r="Y8" s="65" t="s">
        <v>47</v>
      </c>
      <c r="Z8" s="68" t="s">
        <v>87</v>
      </c>
      <c r="AA8" s="450" t="s">
        <v>50</v>
      </c>
      <c r="AB8" s="69" t="s">
        <v>47</v>
      </c>
      <c r="AC8" s="70" t="s">
        <v>47</v>
      </c>
      <c r="AD8" s="67" t="s">
        <v>47</v>
      </c>
      <c r="AE8" s="547" t="s">
        <v>47</v>
      </c>
      <c r="AF8" s="450" t="s">
        <v>52</v>
      </c>
      <c r="AG8" s="540"/>
      <c r="AH8" s="541"/>
      <c r="AI8" s="541"/>
      <c r="AJ8" s="541"/>
      <c r="AK8" s="541"/>
      <c r="AL8" s="54"/>
      <c r="AU8" s="58"/>
      <c r="AV8" s="31"/>
      <c r="AW8" s="58"/>
      <c r="AX8" s="58"/>
      <c r="AY8" s="58"/>
      <c r="AZ8" s="58"/>
    </row>
    <row r="9" spans="2:52" s="62" customFormat="1" ht="29.25" customHeight="1">
      <c r="B9" s="56"/>
      <c r="C9" s="827" t="s">
        <v>54</v>
      </c>
      <c r="D9" s="828"/>
      <c r="E9" s="828"/>
      <c r="F9" s="828"/>
      <c r="G9" s="829"/>
      <c r="H9" s="626"/>
      <c r="I9" s="624"/>
      <c r="J9" s="625"/>
      <c r="K9" s="625"/>
      <c r="L9" s="627"/>
      <c r="M9" s="72"/>
      <c r="N9" s="71"/>
      <c r="O9" s="71"/>
      <c r="P9" s="71"/>
      <c r="Q9" s="73"/>
      <c r="R9" s="72"/>
      <c r="S9" s="71"/>
      <c r="T9" s="71"/>
      <c r="U9" s="71"/>
      <c r="V9" s="71"/>
      <c r="W9" s="73"/>
      <c r="X9" s="71"/>
      <c r="Y9" s="71"/>
      <c r="Z9" s="71"/>
      <c r="AA9" s="73"/>
      <c r="AB9" s="72"/>
      <c r="AC9" s="71"/>
      <c r="AD9" s="71"/>
      <c r="AE9" s="118"/>
      <c r="AF9" s="73"/>
      <c r="AG9" s="542"/>
      <c r="AH9" s="57"/>
      <c r="AI9" s="57"/>
      <c r="AJ9" s="57"/>
      <c r="AK9" s="57"/>
      <c r="AL9" s="54"/>
      <c r="AQ9" s="601" t="s">
        <v>27</v>
      </c>
      <c r="AR9" s="62" t="s">
        <v>213</v>
      </c>
      <c r="AU9" s="32"/>
      <c r="AV9" s="31"/>
      <c r="AW9" s="58"/>
      <c r="AX9" s="58"/>
      <c r="AY9" s="58"/>
      <c r="AZ9" s="58"/>
    </row>
    <row r="10" spans="2:52" ht="30" customHeight="1">
      <c r="B10" s="15"/>
      <c r="C10" s="74">
        <v>1</v>
      </c>
      <c r="D10" s="407"/>
      <c r="E10" s="407"/>
      <c r="F10" s="614"/>
      <c r="G10" s="75" t="str">
        <f t="shared" ref="G10:G24" si="0">IF(D10="","",VLOOKUP(D10,$AQ$10:$AR$12,2,FALSE))</f>
        <v/>
      </c>
      <c r="H10" s="408"/>
      <c r="I10" s="404"/>
      <c r="J10" s="404"/>
      <c r="K10" s="76">
        <f>+VLOOKUP($J$8,'9. Fatores de conversão'!$A$6:$I$14,6,FALSE)*J10</f>
        <v>0</v>
      </c>
      <c r="L10" s="449">
        <f>IF(D10="",0,'1. Identificação Ben. Oper.'!$D$47*J10)</f>
        <v>0</v>
      </c>
      <c r="M10" s="408"/>
      <c r="N10" s="404"/>
      <c r="O10" s="404"/>
      <c r="P10" s="76">
        <f>+VLOOKUP($O$8,'9. Fatores de conversão'!$A$6:$I$14,6,FALSE)*O10</f>
        <v>0</v>
      </c>
      <c r="Q10" s="449">
        <f>IF(D10="",0,'1. Identificação Ben. Oper.'!$D$47*O10)</f>
        <v>0</v>
      </c>
      <c r="R10" s="521">
        <f t="shared" ref="R10:R24" si="1">J10-O10</f>
        <v>0</v>
      </c>
      <c r="S10" s="520">
        <f>IF(D10="",0,'1. Identificação Ben. Oper.'!$D$47*R10)</f>
        <v>0</v>
      </c>
      <c r="T10" s="398">
        <f t="shared" ref="T10:T25" si="2">IF(R10=0,0,R10/J10)</f>
        <v>0</v>
      </c>
      <c r="U10" s="76">
        <f>IF(R10="","",VLOOKUP($R$8,'9. Fatores de conversão'!$A$6:$I$14,3,FALSE)*R10)</f>
        <v>0</v>
      </c>
      <c r="V10" s="76">
        <f>IF($R$8="","",VLOOKUP($R$8,'9. Fatores de conversão'!$A$6:$J$12,6,FALSE)*R10)</f>
        <v>0</v>
      </c>
      <c r="W10" s="522">
        <f>IF($R$8="","",(VLOOKUP($R$8,'9. Fatores de conversão'!$A$6:$I$12,9,FALSE)*R10)/1000)</f>
        <v>0</v>
      </c>
      <c r="X10" s="416"/>
      <c r="Y10" s="405"/>
      <c r="Z10" s="409"/>
      <c r="AA10" s="461">
        <f t="shared" ref="AA10:AA24" si="3">IF(OR(Y10="",Y10=0),0,IF(OR(Z10="",Z10=0),0,G10+1))</f>
        <v>0</v>
      </c>
      <c r="AB10" s="410"/>
      <c r="AC10" s="405"/>
      <c r="AD10" s="397">
        <f>IF(AB10="",0,IF(AB10=0,AB10+AC10,AB10+AC10-AE10*(1+AC10/AB10)))</f>
        <v>0</v>
      </c>
      <c r="AE10" s="527">
        <v>0</v>
      </c>
      <c r="AF10" s="459">
        <f>IF(S10=0,0,(AB10+AC10)/S10)</f>
        <v>0</v>
      </c>
      <c r="AG10" s="543"/>
      <c r="AH10" s="544"/>
      <c r="AI10" s="544"/>
      <c r="AJ10" s="544"/>
      <c r="AK10" s="544"/>
      <c r="AL10" s="12"/>
      <c r="AQ10" s="2" t="s">
        <v>247</v>
      </c>
      <c r="AR10" s="3">
        <v>12</v>
      </c>
      <c r="AU10" s="11"/>
      <c r="AV10" s="31"/>
      <c r="AW10" s="58"/>
      <c r="AX10" s="58"/>
      <c r="AY10" s="58"/>
      <c r="AZ10" s="11"/>
    </row>
    <row r="11" spans="2:52" ht="30" customHeight="1">
      <c r="B11" s="15"/>
      <c r="C11" s="74">
        <v>2</v>
      </c>
      <c r="D11" s="407"/>
      <c r="E11" s="407"/>
      <c r="F11" s="614"/>
      <c r="G11" s="75" t="str">
        <f t="shared" si="0"/>
        <v/>
      </c>
      <c r="H11" s="408"/>
      <c r="I11" s="404"/>
      <c r="J11" s="404"/>
      <c r="K11" s="76">
        <f>+VLOOKUP($J$8,'9. Fatores de conversão'!$A$6:$I$14,6,FALSE)*J11</f>
        <v>0</v>
      </c>
      <c r="L11" s="449">
        <f>IF(D11="",0,'1. Identificação Ben. Oper.'!$D$47*J11)</f>
        <v>0</v>
      </c>
      <c r="M11" s="408"/>
      <c r="N11" s="404"/>
      <c r="O11" s="404"/>
      <c r="P11" s="76">
        <f>+VLOOKUP($O$8,'9. Fatores de conversão'!$A$6:$I$14,6,FALSE)*O11</f>
        <v>0</v>
      </c>
      <c r="Q11" s="449">
        <f>IF(D11="",0,'1. Identificação Ben. Oper.'!$D$47*O11)</f>
        <v>0</v>
      </c>
      <c r="R11" s="521">
        <f t="shared" si="1"/>
        <v>0</v>
      </c>
      <c r="S11" s="397">
        <f>IF(D11="",0,'1. Identificação Ben. Oper.'!$D$47*R11)</f>
        <v>0</v>
      </c>
      <c r="T11" s="398">
        <f t="shared" si="2"/>
        <v>0</v>
      </c>
      <c r="U11" s="76">
        <f>IF(R11="","",VLOOKUP($R$8,'9. Fatores de conversão'!$A$6:$I$14,3,FALSE)*R11)</f>
        <v>0</v>
      </c>
      <c r="V11" s="76">
        <f>IF($R$8="","",VLOOKUP($R$8,'9. Fatores de conversão'!$A$6:$J$12,6,FALSE)*R11)</f>
        <v>0</v>
      </c>
      <c r="W11" s="522">
        <f>IF($R$8="","",(VLOOKUP($R$8,'9. Fatores de conversão'!$A$6:$I$12,9,FALSE)*R11)/1000)</f>
        <v>0</v>
      </c>
      <c r="X11" s="416"/>
      <c r="Y11" s="405"/>
      <c r="Z11" s="409"/>
      <c r="AA11" s="461">
        <f t="shared" si="3"/>
        <v>0</v>
      </c>
      <c r="AB11" s="410"/>
      <c r="AC11" s="405"/>
      <c r="AD11" s="397">
        <f t="shared" ref="AD11:AD24" si="4">IF(AB11="",0,IF(AB11=0,AB11+AC11,AB11+AC11-AE11*(1+AC11/AB11)))</f>
        <v>0</v>
      </c>
      <c r="AE11" s="527">
        <v>0</v>
      </c>
      <c r="AF11" s="459">
        <f t="shared" ref="AF11:AF25" si="5">IF(S11=0,0,(AB11+AC11)/S11)</f>
        <v>0</v>
      </c>
      <c r="AG11" s="543"/>
      <c r="AH11" s="544"/>
      <c r="AI11" s="544"/>
      <c r="AJ11" s="544"/>
      <c r="AK11" s="544"/>
      <c r="AL11" s="12"/>
      <c r="AQ11" s="2" t="s">
        <v>212</v>
      </c>
      <c r="AR11" s="3">
        <v>17</v>
      </c>
      <c r="AU11" s="11"/>
      <c r="AV11" s="31"/>
      <c r="AW11" s="58"/>
      <c r="AX11" s="58"/>
      <c r="AY11" s="58"/>
      <c r="AZ11" s="11"/>
    </row>
    <row r="12" spans="2:52" ht="30" customHeight="1">
      <c r="B12" s="15"/>
      <c r="C12" s="74">
        <v>3</v>
      </c>
      <c r="D12" s="407"/>
      <c r="E12" s="407"/>
      <c r="F12" s="614"/>
      <c r="G12" s="75" t="str">
        <f t="shared" si="0"/>
        <v/>
      </c>
      <c r="H12" s="408"/>
      <c r="I12" s="404"/>
      <c r="J12" s="404"/>
      <c r="K12" s="76">
        <f>+VLOOKUP($J$8,'9. Fatores de conversão'!$A$6:$I$14,6,FALSE)*J12</f>
        <v>0</v>
      </c>
      <c r="L12" s="449">
        <f>IF(D12="",0,'1. Identificação Ben. Oper.'!$D$47*J12)</f>
        <v>0</v>
      </c>
      <c r="M12" s="408"/>
      <c r="N12" s="404"/>
      <c r="O12" s="404"/>
      <c r="P12" s="76">
        <f>+VLOOKUP($O$8,'9. Fatores de conversão'!$A$6:$I$14,6,FALSE)*O12</f>
        <v>0</v>
      </c>
      <c r="Q12" s="449">
        <f>IF(D12="",0,'1. Identificação Ben. Oper.'!$D$47*O12)</f>
        <v>0</v>
      </c>
      <c r="R12" s="521">
        <f t="shared" si="1"/>
        <v>0</v>
      </c>
      <c r="S12" s="397">
        <f>IF(D12="",0,'1. Identificação Ben. Oper.'!$D$47*R12)</f>
        <v>0</v>
      </c>
      <c r="T12" s="398">
        <f t="shared" si="2"/>
        <v>0</v>
      </c>
      <c r="U12" s="76">
        <f>IF(R12="","",VLOOKUP($R$8,'9. Fatores de conversão'!$A$6:$I$14,3,FALSE)*R12)</f>
        <v>0</v>
      </c>
      <c r="V12" s="76">
        <f>IF($R$8="","",VLOOKUP($R$8,'9. Fatores de conversão'!$A$6:$J$12,6,FALSE)*R12)</f>
        <v>0</v>
      </c>
      <c r="W12" s="522">
        <f>IF($R$8="","",(VLOOKUP($R$8,'9. Fatores de conversão'!$A$6:$I$12,9,FALSE)*R12)/1000)</f>
        <v>0</v>
      </c>
      <c r="X12" s="416"/>
      <c r="Y12" s="405"/>
      <c r="Z12" s="409"/>
      <c r="AA12" s="461">
        <f t="shared" si="3"/>
        <v>0</v>
      </c>
      <c r="AB12" s="410"/>
      <c r="AC12" s="405"/>
      <c r="AD12" s="397">
        <f t="shared" si="4"/>
        <v>0</v>
      </c>
      <c r="AE12" s="527">
        <v>0</v>
      </c>
      <c r="AF12" s="459">
        <f t="shared" si="5"/>
        <v>0</v>
      </c>
      <c r="AG12" s="543"/>
      <c r="AH12" s="544"/>
      <c r="AI12" s="544"/>
      <c r="AJ12" s="544"/>
      <c r="AK12" s="544"/>
      <c r="AL12" s="12"/>
      <c r="AQ12" s="2" t="s">
        <v>246</v>
      </c>
      <c r="AR12" s="3">
        <v>12</v>
      </c>
      <c r="AU12" s="11"/>
      <c r="AV12" s="31"/>
      <c r="AW12" s="58"/>
      <c r="AX12" s="58"/>
      <c r="AY12" s="58"/>
      <c r="AZ12" s="11"/>
    </row>
    <row r="13" spans="2:52" ht="30" customHeight="1">
      <c r="B13" s="15"/>
      <c r="C13" s="74">
        <v>4</v>
      </c>
      <c r="D13" s="407"/>
      <c r="E13" s="407"/>
      <c r="F13" s="614"/>
      <c r="G13" s="75" t="str">
        <f t="shared" si="0"/>
        <v/>
      </c>
      <c r="H13" s="408"/>
      <c r="I13" s="404"/>
      <c r="J13" s="404"/>
      <c r="K13" s="76">
        <f>+VLOOKUP($J$8,'9. Fatores de conversão'!$A$6:$I$14,6,FALSE)*J13</f>
        <v>0</v>
      </c>
      <c r="L13" s="449">
        <f>IF(D13="",0,'1. Identificação Ben. Oper.'!$D$47*J13)</f>
        <v>0</v>
      </c>
      <c r="M13" s="408"/>
      <c r="N13" s="404"/>
      <c r="O13" s="404"/>
      <c r="P13" s="76">
        <f>+VLOOKUP($O$8,'9. Fatores de conversão'!$A$6:$I$14,6,FALSE)*O13</f>
        <v>0</v>
      </c>
      <c r="Q13" s="449">
        <f>IF(D13="",0,'1. Identificação Ben. Oper.'!$D$47*O13)</f>
        <v>0</v>
      </c>
      <c r="R13" s="521">
        <f t="shared" si="1"/>
        <v>0</v>
      </c>
      <c r="S13" s="397">
        <f>IF(D13="",0,'1. Identificação Ben. Oper.'!$D$47*R13)</f>
        <v>0</v>
      </c>
      <c r="T13" s="398">
        <f t="shared" si="2"/>
        <v>0</v>
      </c>
      <c r="U13" s="76">
        <f>IF(R13="","",VLOOKUP($R$8,'9. Fatores de conversão'!$A$6:$I$14,3,FALSE)*R13)</f>
        <v>0</v>
      </c>
      <c r="V13" s="76">
        <f>IF($R$8="","",VLOOKUP($R$8,'9. Fatores de conversão'!$A$6:$J$12,6,FALSE)*R13)</f>
        <v>0</v>
      </c>
      <c r="W13" s="522">
        <f>IF($R$8="","",(VLOOKUP($R$8,'9. Fatores de conversão'!$A$6:$I$12,9,FALSE)*R13)/1000)</f>
        <v>0</v>
      </c>
      <c r="X13" s="416"/>
      <c r="Y13" s="405"/>
      <c r="Z13" s="409"/>
      <c r="AA13" s="461">
        <f t="shared" si="3"/>
        <v>0</v>
      </c>
      <c r="AB13" s="410"/>
      <c r="AC13" s="405"/>
      <c r="AD13" s="397">
        <f t="shared" si="4"/>
        <v>0</v>
      </c>
      <c r="AE13" s="527">
        <v>0</v>
      </c>
      <c r="AF13" s="459">
        <f t="shared" si="5"/>
        <v>0</v>
      </c>
      <c r="AG13" s="543"/>
      <c r="AH13" s="544"/>
      <c r="AI13" s="544"/>
      <c r="AJ13" s="544"/>
      <c r="AK13" s="544"/>
      <c r="AL13" s="12"/>
      <c r="AU13" s="11"/>
      <c r="AV13" s="77"/>
      <c r="AW13" s="58"/>
      <c r="AX13" s="58"/>
      <c r="AY13" s="58"/>
      <c r="AZ13" s="11"/>
    </row>
    <row r="14" spans="2:52" ht="30" customHeight="1">
      <c r="B14" s="15"/>
      <c r="C14" s="74">
        <v>5</v>
      </c>
      <c r="D14" s="407"/>
      <c r="E14" s="407"/>
      <c r="F14" s="614"/>
      <c r="G14" s="75" t="str">
        <f t="shared" si="0"/>
        <v/>
      </c>
      <c r="H14" s="408"/>
      <c r="I14" s="404"/>
      <c r="J14" s="404"/>
      <c r="K14" s="76">
        <f>+VLOOKUP($J$8,'9. Fatores de conversão'!$A$6:$I$14,6,FALSE)*J14</f>
        <v>0</v>
      </c>
      <c r="L14" s="449">
        <f>IF(D14="",0,'1. Identificação Ben. Oper.'!$D$47*J14)</f>
        <v>0</v>
      </c>
      <c r="M14" s="408"/>
      <c r="N14" s="404"/>
      <c r="O14" s="404"/>
      <c r="P14" s="76">
        <f>+VLOOKUP($O$8,'9. Fatores de conversão'!$A$6:$I$14,6,FALSE)*O14</f>
        <v>0</v>
      </c>
      <c r="Q14" s="449">
        <f>IF(D14="",0,'1. Identificação Ben. Oper.'!$D$47*O14)</f>
        <v>0</v>
      </c>
      <c r="R14" s="521">
        <f t="shared" si="1"/>
        <v>0</v>
      </c>
      <c r="S14" s="397">
        <f>IF(D14="",0,'1. Identificação Ben. Oper.'!$D$47*R14)</f>
        <v>0</v>
      </c>
      <c r="T14" s="398">
        <f t="shared" si="2"/>
        <v>0</v>
      </c>
      <c r="U14" s="76">
        <f>IF(R14="","",VLOOKUP($R$8,'9. Fatores de conversão'!$A$6:$I$14,3,FALSE)*R14)</f>
        <v>0</v>
      </c>
      <c r="V14" s="76">
        <f>IF($R$8="","",VLOOKUP($R$8,'9. Fatores de conversão'!$A$6:$J$12,6,FALSE)*R14)</f>
        <v>0</v>
      </c>
      <c r="W14" s="522">
        <f>IF($R$8="","",(VLOOKUP($R$8,'9. Fatores de conversão'!$A$6:$I$12,9,FALSE)*R14)/1000)</f>
        <v>0</v>
      </c>
      <c r="X14" s="416"/>
      <c r="Y14" s="405"/>
      <c r="Z14" s="409"/>
      <c r="AA14" s="461">
        <f t="shared" si="3"/>
        <v>0</v>
      </c>
      <c r="AB14" s="410"/>
      <c r="AC14" s="405"/>
      <c r="AD14" s="397">
        <f t="shared" si="4"/>
        <v>0</v>
      </c>
      <c r="AE14" s="527">
        <v>0</v>
      </c>
      <c r="AF14" s="459">
        <f t="shared" ref="AF14:AF18" si="6">IF(S14=0,0,(AB14+AC14)/S14)</f>
        <v>0</v>
      </c>
      <c r="AG14" s="543"/>
      <c r="AH14" s="544"/>
      <c r="AI14" s="544"/>
      <c r="AJ14" s="544"/>
      <c r="AK14" s="544"/>
      <c r="AL14" s="12"/>
      <c r="AU14" s="11"/>
      <c r="AV14" s="77"/>
      <c r="AW14" s="58"/>
      <c r="AX14" s="58"/>
      <c r="AY14" s="58"/>
      <c r="AZ14" s="11"/>
    </row>
    <row r="15" spans="2:52" ht="30" customHeight="1">
      <c r="B15" s="15"/>
      <c r="C15" s="74">
        <v>6</v>
      </c>
      <c r="D15" s="407"/>
      <c r="E15" s="407"/>
      <c r="F15" s="614"/>
      <c r="G15" s="75" t="str">
        <f t="shared" si="0"/>
        <v/>
      </c>
      <c r="H15" s="408"/>
      <c r="I15" s="404"/>
      <c r="J15" s="404"/>
      <c r="K15" s="76">
        <f>+VLOOKUP($J$8,'9. Fatores de conversão'!$A$6:$I$14,6,FALSE)*J15</f>
        <v>0</v>
      </c>
      <c r="L15" s="449">
        <f>IF(D15="",0,'1. Identificação Ben. Oper.'!$D$47*J15)</f>
        <v>0</v>
      </c>
      <c r="M15" s="408"/>
      <c r="N15" s="404"/>
      <c r="O15" s="404"/>
      <c r="P15" s="76">
        <f>+VLOOKUP($O$8,'9. Fatores de conversão'!$A$6:$I$14,6,FALSE)*O15</f>
        <v>0</v>
      </c>
      <c r="Q15" s="449">
        <f>IF(D15="",0,'1. Identificação Ben. Oper.'!$D$47*O15)</f>
        <v>0</v>
      </c>
      <c r="R15" s="521">
        <f t="shared" si="1"/>
        <v>0</v>
      </c>
      <c r="S15" s="397">
        <f>IF(D15="",0,'1. Identificação Ben. Oper.'!$D$47*R15)</f>
        <v>0</v>
      </c>
      <c r="T15" s="398">
        <f t="shared" si="2"/>
        <v>0</v>
      </c>
      <c r="U15" s="76">
        <f>IF(R15="","",VLOOKUP($R$8,'9. Fatores de conversão'!$A$6:$I$14,3,FALSE)*R15)</f>
        <v>0</v>
      </c>
      <c r="V15" s="76">
        <f>IF($R$8="","",VLOOKUP($R$8,'9. Fatores de conversão'!$A$6:$J$12,6,FALSE)*R15)</f>
        <v>0</v>
      </c>
      <c r="W15" s="522">
        <f>IF($R$8="","",(VLOOKUP($R$8,'9. Fatores de conversão'!$A$6:$I$12,9,FALSE)*R15)/1000)</f>
        <v>0</v>
      </c>
      <c r="X15" s="416"/>
      <c r="Y15" s="405"/>
      <c r="Z15" s="409"/>
      <c r="AA15" s="461">
        <f t="shared" si="3"/>
        <v>0</v>
      </c>
      <c r="AB15" s="410"/>
      <c r="AC15" s="405"/>
      <c r="AD15" s="397">
        <f t="shared" si="4"/>
        <v>0</v>
      </c>
      <c r="AE15" s="527">
        <v>0</v>
      </c>
      <c r="AF15" s="459">
        <f t="shared" si="6"/>
        <v>0</v>
      </c>
      <c r="AG15" s="543"/>
      <c r="AH15" s="544"/>
      <c r="AI15" s="544"/>
      <c r="AJ15" s="544"/>
      <c r="AK15" s="544"/>
      <c r="AL15" s="12"/>
      <c r="AU15" s="11"/>
      <c r="AV15" s="77"/>
      <c r="AW15" s="58"/>
      <c r="AX15" s="58"/>
      <c r="AY15" s="58"/>
      <c r="AZ15" s="11"/>
    </row>
    <row r="16" spans="2:52" ht="30" customHeight="1">
      <c r="B16" s="15"/>
      <c r="C16" s="74">
        <v>7</v>
      </c>
      <c r="D16" s="407"/>
      <c r="E16" s="407"/>
      <c r="F16" s="614"/>
      <c r="G16" s="75" t="str">
        <f t="shared" si="0"/>
        <v/>
      </c>
      <c r="H16" s="408"/>
      <c r="I16" s="404"/>
      <c r="J16" s="404"/>
      <c r="K16" s="76">
        <f>+VLOOKUP($J$8,'9. Fatores de conversão'!$A$6:$I$14,6,FALSE)*J16</f>
        <v>0</v>
      </c>
      <c r="L16" s="449">
        <f>IF(D16="",0,'1. Identificação Ben. Oper.'!$D$47*J16)</f>
        <v>0</v>
      </c>
      <c r="M16" s="408"/>
      <c r="N16" s="404"/>
      <c r="O16" s="404"/>
      <c r="P16" s="76">
        <f>+VLOOKUP($O$8,'9. Fatores de conversão'!$A$6:$I$14,6,FALSE)*O16</f>
        <v>0</v>
      </c>
      <c r="Q16" s="449">
        <f>IF(D16="",0,'1. Identificação Ben. Oper.'!$D$47*O16)</f>
        <v>0</v>
      </c>
      <c r="R16" s="521">
        <f t="shared" si="1"/>
        <v>0</v>
      </c>
      <c r="S16" s="397">
        <f>IF(D16="",0,'1. Identificação Ben. Oper.'!$D$47*R16)</f>
        <v>0</v>
      </c>
      <c r="T16" s="398">
        <f t="shared" si="2"/>
        <v>0</v>
      </c>
      <c r="U16" s="76">
        <f>IF(R16="","",VLOOKUP($R$8,'9. Fatores de conversão'!$A$6:$I$14,3,FALSE)*R16)</f>
        <v>0</v>
      </c>
      <c r="V16" s="76">
        <f>IF($R$8="","",VLOOKUP($R$8,'9. Fatores de conversão'!$A$6:$J$12,6,FALSE)*R16)</f>
        <v>0</v>
      </c>
      <c r="W16" s="522">
        <f>IF($R$8="","",(VLOOKUP($R$8,'9. Fatores de conversão'!$A$6:$I$12,9,FALSE)*R16)/1000)</f>
        <v>0</v>
      </c>
      <c r="X16" s="416"/>
      <c r="Y16" s="405"/>
      <c r="Z16" s="409"/>
      <c r="AA16" s="461">
        <f t="shared" si="3"/>
        <v>0</v>
      </c>
      <c r="AB16" s="410"/>
      <c r="AC16" s="405"/>
      <c r="AD16" s="397">
        <f t="shared" si="4"/>
        <v>0</v>
      </c>
      <c r="AE16" s="527">
        <v>0</v>
      </c>
      <c r="AF16" s="459">
        <f t="shared" si="6"/>
        <v>0</v>
      </c>
      <c r="AG16" s="543"/>
      <c r="AH16" s="544"/>
      <c r="AI16" s="544"/>
      <c r="AJ16" s="544"/>
      <c r="AK16" s="544"/>
      <c r="AL16" s="12"/>
      <c r="AU16" s="11"/>
      <c r="AV16" s="77"/>
      <c r="AW16" s="58"/>
      <c r="AX16" s="58"/>
      <c r="AY16" s="58"/>
      <c r="AZ16" s="11"/>
    </row>
    <row r="17" spans="2:52" ht="30" customHeight="1">
      <c r="B17" s="15"/>
      <c r="C17" s="74">
        <v>8</v>
      </c>
      <c r="D17" s="407"/>
      <c r="E17" s="407"/>
      <c r="F17" s="614"/>
      <c r="G17" s="75" t="str">
        <f t="shared" si="0"/>
        <v/>
      </c>
      <c r="H17" s="408"/>
      <c r="I17" s="404"/>
      <c r="J17" s="404"/>
      <c r="K17" s="76">
        <f>+VLOOKUP($J$8,'9. Fatores de conversão'!$A$6:$I$14,6,FALSE)*J17</f>
        <v>0</v>
      </c>
      <c r="L17" s="449">
        <f>IF(D17="",0,'1. Identificação Ben. Oper.'!$D$47*J17)</f>
        <v>0</v>
      </c>
      <c r="M17" s="408"/>
      <c r="N17" s="404"/>
      <c r="O17" s="404"/>
      <c r="P17" s="76">
        <f>+VLOOKUP($O$8,'9. Fatores de conversão'!$A$6:$I$14,6,FALSE)*O17</f>
        <v>0</v>
      </c>
      <c r="Q17" s="449">
        <f>IF(D17="",0,'1. Identificação Ben. Oper.'!$D$47*O17)</f>
        <v>0</v>
      </c>
      <c r="R17" s="521">
        <f t="shared" si="1"/>
        <v>0</v>
      </c>
      <c r="S17" s="397">
        <f>IF(D17="",0,'1. Identificação Ben. Oper.'!$D$47*R17)</f>
        <v>0</v>
      </c>
      <c r="T17" s="398">
        <f t="shared" si="2"/>
        <v>0</v>
      </c>
      <c r="U17" s="76">
        <f>IF(R17="","",VLOOKUP($R$8,'9. Fatores de conversão'!$A$6:$I$14,3,FALSE)*R17)</f>
        <v>0</v>
      </c>
      <c r="V17" s="76">
        <f>IF($R$8="","",VLOOKUP($R$8,'9. Fatores de conversão'!$A$6:$J$12,6,FALSE)*R17)</f>
        <v>0</v>
      </c>
      <c r="W17" s="522">
        <f>IF($R$8="","",(VLOOKUP($R$8,'9. Fatores de conversão'!$A$6:$I$12,9,FALSE)*R17)/1000)</f>
        <v>0</v>
      </c>
      <c r="X17" s="416"/>
      <c r="Y17" s="405"/>
      <c r="Z17" s="409"/>
      <c r="AA17" s="461">
        <f t="shared" si="3"/>
        <v>0</v>
      </c>
      <c r="AB17" s="410"/>
      <c r="AC17" s="405"/>
      <c r="AD17" s="397">
        <f t="shared" si="4"/>
        <v>0</v>
      </c>
      <c r="AE17" s="527">
        <v>0</v>
      </c>
      <c r="AF17" s="459">
        <f t="shared" si="6"/>
        <v>0</v>
      </c>
      <c r="AG17" s="543"/>
      <c r="AH17" s="544"/>
      <c r="AI17" s="544"/>
      <c r="AJ17" s="544"/>
      <c r="AK17" s="544"/>
      <c r="AL17" s="12"/>
      <c r="AU17" s="11"/>
      <c r="AV17" s="77"/>
      <c r="AW17" s="58"/>
      <c r="AX17" s="58"/>
      <c r="AY17" s="58"/>
      <c r="AZ17" s="11"/>
    </row>
    <row r="18" spans="2:52" ht="30" customHeight="1">
      <c r="B18" s="15"/>
      <c r="C18" s="74">
        <v>9</v>
      </c>
      <c r="D18" s="407"/>
      <c r="E18" s="407"/>
      <c r="F18" s="614"/>
      <c r="G18" s="75" t="str">
        <f t="shared" si="0"/>
        <v/>
      </c>
      <c r="H18" s="408"/>
      <c r="I18" s="404"/>
      <c r="J18" s="404"/>
      <c r="K18" s="76">
        <f>+VLOOKUP($J$8,'9. Fatores de conversão'!$A$6:$I$14,6,FALSE)*J18</f>
        <v>0</v>
      </c>
      <c r="L18" s="449">
        <f>IF(D18="",0,'1. Identificação Ben. Oper.'!$D$47*J18)</f>
        <v>0</v>
      </c>
      <c r="M18" s="408"/>
      <c r="N18" s="404"/>
      <c r="O18" s="404"/>
      <c r="P18" s="76">
        <f>+VLOOKUP($O$8,'9. Fatores de conversão'!$A$6:$I$14,6,FALSE)*O18</f>
        <v>0</v>
      </c>
      <c r="Q18" s="449">
        <f>IF(D18="",0,'1. Identificação Ben. Oper.'!$D$47*O18)</f>
        <v>0</v>
      </c>
      <c r="R18" s="521">
        <f t="shared" si="1"/>
        <v>0</v>
      </c>
      <c r="S18" s="397">
        <f>IF(D18="",0,'1. Identificação Ben. Oper.'!$D$47*R18)</f>
        <v>0</v>
      </c>
      <c r="T18" s="398">
        <f t="shared" si="2"/>
        <v>0</v>
      </c>
      <c r="U18" s="76">
        <f>IF(R18="","",VLOOKUP($R$8,'9. Fatores de conversão'!$A$6:$I$14,3,FALSE)*R18)</f>
        <v>0</v>
      </c>
      <c r="V18" s="76">
        <f>IF($R$8="","",VLOOKUP($R$8,'9. Fatores de conversão'!$A$6:$J$12,6,FALSE)*R18)</f>
        <v>0</v>
      </c>
      <c r="W18" s="522">
        <f>IF($R$8="","",(VLOOKUP($R$8,'9. Fatores de conversão'!$A$6:$I$12,9,FALSE)*R18)/1000)</f>
        <v>0</v>
      </c>
      <c r="X18" s="416"/>
      <c r="Y18" s="405"/>
      <c r="Z18" s="409"/>
      <c r="AA18" s="461">
        <f t="shared" si="3"/>
        <v>0</v>
      </c>
      <c r="AB18" s="410"/>
      <c r="AC18" s="405"/>
      <c r="AD18" s="397">
        <f t="shared" si="4"/>
        <v>0</v>
      </c>
      <c r="AE18" s="527">
        <v>0</v>
      </c>
      <c r="AF18" s="459">
        <f t="shared" si="6"/>
        <v>0</v>
      </c>
      <c r="AG18" s="543"/>
      <c r="AH18" s="544"/>
      <c r="AI18" s="544"/>
      <c r="AJ18" s="544"/>
      <c r="AK18" s="544"/>
      <c r="AL18" s="12"/>
      <c r="AU18" s="11"/>
      <c r="AV18" s="77"/>
      <c r="AW18" s="58"/>
      <c r="AX18" s="58"/>
      <c r="AY18" s="58"/>
      <c r="AZ18" s="11"/>
    </row>
    <row r="19" spans="2:52" ht="30" customHeight="1">
      <c r="B19" s="15"/>
      <c r="C19" s="74">
        <v>10</v>
      </c>
      <c r="D19" s="407"/>
      <c r="E19" s="407"/>
      <c r="F19" s="614"/>
      <c r="G19" s="75" t="str">
        <f t="shared" si="0"/>
        <v/>
      </c>
      <c r="H19" s="408"/>
      <c r="I19" s="404"/>
      <c r="J19" s="404"/>
      <c r="K19" s="76">
        <f>+VLOOKUP($J$8,'9. Fatores de conversão'!$A$6:$I$14,6,FALSE)*J19</f>
        <v>0</v>
      </c>
      <c r="L19" s="449">
        <f>IF(D19="",0,'1. Identificação Ben. Oper.'!$D$47*J19)</f>
        <v>0</v>
      </c>
      <c r="M19" s="408"/>
      <c r="N19" s="404"/>
      <c r="O19" s="404"/>
      <c r="P19" s="76">
        <f>+VLOOKUP($O$8,'9. Fatores de conversão'!$A$6:$I$14,6,FALSE)*O19</f>
        <v>0</v>
      </c>
      <c r="Q19" s="449">
        <f>IF(D19="",0,'1. Identificação Ben. Oper.'!$D$47*O19)</f>
        <v>0</v>
      </c>
      <c r="R19" s="521">
        <f t="shared" si="1"/>
        <v>0</v>
      </c>
      <c r="S19" s="397">
        <f>IF(D19="",0,'1. Identificação Ben. Oper.'!$D$47*R19)</f>
        <v>0</v>
      </c>
      <c r="T19" s="398">
        <f t="shared" si="2"/>
        <v>0</v>
      </c>
      <c r="U19" s="76">
        <f>IF(R19="","",VLOOKUP($R$8,'9. Fatores de conversão'!$A$6:$I$14,3,FALSE)*R19)</f>
        <v>0</v>
      </c>
      <c r="V19" s="76">
        <f>IF($R$8="","",VLOOKUP($R$8,'9. Fatores de conversão'!$A$6:$J$12,6,FALSE)*R19)</f>
        <v>0</v>
      </c>
      <c r="W19" s="522">
        <f>IF($R$8="","",(VLOOKUP($R$8,'9. Fatores de conversão'!$A$6:$I$12,9,FALSE)*R19)/1000)</f>
        <v>0</v>
      </c>
      <c r="X19" s="416"/>
      <c r="Y19" s="405"/>
      <c r="Z19" s="409"/>
      <c r="AA19" s="461">
        <f t="shared" si="3"/>
        <v>0</v>
      </c>
      <c r="AB19" s="410"/>
      <c r="AC19" s="405"/>
      <c r="AD19" s="397">
        <f t="shared" si="4"/>
        <v>0</v>
      </c>
      <c r="AE19" s="527">
        <v>0</v>
      </c>
      <c r="AF19" s="459">
        <f t="shared" si="5"/>
        <v>0</v>
      </c>
      <c r="AG19" s="543"/>
      <c r="AH19" s="544"/>
      <c r="AI19" s="544"/>
      <c r="AJ19" s="544"/>
      <c r="AK19" s="544"/>
      <c r="AL19" s="12"/>
      <c r="AU19" s="11"/>
      <c r="AV19" s="77"/>
      <c r="AW19" s="58"/>
      <c r="AX19" s="58"/>
      <c r="AY19" s="58"/>
      <c r="AZ19" s="11"/>
    </row>
    <row r="20" spans="2:52" ht="30" customHeight="1">
      <c r="B20" s="15"/>
      <c r="C20" s="74">
        <v>11</v>
      </c>
      <c r="D20" s="407"/>
      <c r="E20" s="407"/>
      <c r="F20" s="614"/>
      <c r="G20" s="75" t="str">
        <f t="shared" si="0"/>
        <v/>
      </c>
      <c r="H20" s="408"/>
      <c r="I20" s="404"/>
      <c r="J20" s="404"/>
      <c r="K20" s="76">
        <f>+VLOOKUP($J$8,'9. Fatores de conversão'!$A$6:$I$14,6,FALSE)*J20</f>
        <v>0</v>
      </c>
      <c r="L20" s="449">
        <f>IF(D20="",0,'1. Identificação Ben. Oper.'!$D$47*J20)</f>
        <v>0</v>
      </c>
      <c r="M20" s="408"/>
      <c r="N20" s="404"/>
      <c r="O20" s="404"/>
      <c r="P20" s="76">
        <f>+VLOOKUP($O$8,'9. Fatores de conversão'!$A$6:$I$14,6,FALSE)*O20</f>
        <v>0</v>
      </c>
      <c r="Q20" s="449">
        <f>IF(D20="",0,'1. Identificação Ben. Oper.'!$D$47*O20)</f>
        <v>0</v>
      </c>
      <c r="R20" s="521">
        <f t="shared" si="1"/>
        <v>0</v>
      </c>
      <c r="S20" s="397">
        <f>IF(D20="",0,'1. Identificação Ben. Oper.'!$D$47*R20)</f>
        <v>0</v>
      </c>
      <c r="T20" s="398">
        <f t="shared" si="2"/>
        <v>0</v>
      </c>
      <c r="U20" s="76">
        <f>IF(R20="","",VLOOKUP($R$8,'9. Fatores de conversão'!$A$6:$I$14,3,FALSE)*R20)</f>
        <v>0</v>
      </c>
      <c r="V20" s="76">
        <f>IF($R$8="","",VLOOKUP($R$8,'9. Fatores de conversão'!$A$6:$J$12,6,FALSE)*R20)</f>
        <v>0</v>
      </c>
      <c r="W20" s="522">
        <f>IF($R$8="","",(VLOOKUP($R$8,'9. Fatores de conversão'!$A$6:$I$12,9,FALSE)*R20)/1000)</f>
        <v>0</v>
      </c>
      <c r="X20" s="416"/>
      <c r="Y20" s="405"/>
      <c r="Z20" s="409"/>
      <c r="AA20" s="461">
        <f t="shared" si="3"/>
        <v>0</v>
      </c>
      <c r="AB20" s="410"/>
      <c r="AC20" s="411"/>
      <c r="AD20" s="397">
        <f t="shared" si="4"/>
        <v>0</v>
      </c>
      <c r="AE20" s="527">
        <v>0</v>
      </c>
      <c r="AF20" s="459">
        <f t="shared" si="5"/>
        <v>0</v>
      </c>
      <c r="AG20" s="543"/>
      <c r="AH20" s="544"/>
      <c r="AI20" s="544"/>
      <c r="AJ20" s="544"/>
      <c r="AK20" s="544"/>
      <c r="AL20" s="12"/>
      <c r="AU20" s="11"/>
      <c r="AV20" s="77"/>
      <c r="AW20" s="58"/>
      <c r="AX20" s="58"/>
      <c r="AY20" s="58"/>
      <c r="AZ20" s="11"/>
    </row>
    <row r="21" spans="2:52" ht="30" customHeight="1">
      <c r="B21" s="15"/>
      <c r="C21" s="74">
        <v>12</v>
      </c>
      <c r="D21" s="407"/>
      <c r="E21" s="407"/>
      <c r="F21" s="614"/>
      <c r="G21" s="75" t="str">
        <f t="shared" si="0"/>
        <v/>
      </c>
      <c r="H21" s="408"/>
      <c r="I21" s="404"/>
      <c r="J21" s="404"/>
      <c r="K21" s="76">
        <f>+VLOOKUP($J$8,'9. Fatores de conversão'!$A$6:$I$14,6,FALSE)*J21</f>
        <v>0</v>
      </c>
      <c r="L21" s="449">
        <f>IF(D21="",0,'1. Identificação Ben. Oper.'!$D$47*J21)</f>
        <v>0</v>
      </c>
      <c r="M21" s="408"/>
      <c r="N21" s="404"/>
      <c r="O21" s="404"/>
      <c r="P21" s="76">
        <f>+VLOOKUP($O$8,'9. Fatores de conversão'!$A$6:$I$14,6,FALSE)*O21</f>
        <v>0</v>
      </c>
      <c r="Q21" s="449">
        <f>IF(D21="",0,'1. Identificação Ben. Oper.'!$D$47*O21)</f>
        <v>0</v>
      </c>
      <c r="R21" s="521">
        <f t="shared" si="1"/>
        <v>0</v>
      </c>
      <c r="S21" s="397">
        <f>IF(D21="",0,'1. Identificação Ben. Oper.'!$D$47*R21)</f>
        <v>0</v>
      </c>
      <c r="T21" s="398">
        <f t="shared" si="2"/>
        <v>0</v>
      </c>
      <c r="U21" s="76">
        <f>IF(R21="","",VLOOKUP($R$8,'9. Fatores de conversão'!$A$6:$I$14,3,FALSE)*R21)</f>
        <v>0</v>
      </c>
      <c r="V21" s="76">
        <f>IF($R$8="","",VLOOKUP($R$8,'9. Fatores de conversão'!$A$6:$J$12,6,FALSE)*R21)</f>
        <v>0</v>
      </c>
      <c r="W21" s="522">
        <f>IF($R$8="","",(VLOOKUP($R$8,'9. Fatores de conversão'!$A$6:$I$12,9,FALSE)*R21)/1000)</f>
        <v>0</v>
      </c>
      <c r="X21" s="416"/>
      <c r="Y21" s="405"/>
      <c r="Z21" s="409"/>
      <c r="AA21" s="461">
        <f t="shared" si="3"/>
        <v>0</v>
      </c>
      <c r="AB21" s="410"/>
      <c r="AC21" s="411"/>
      <c r="AD21" s="397">
        <f t="shared" si="4"/>
        <v>0</v>
      </c>
      <c r="AE21" s="527">
        <v>0</v>
      </c>
      <c r="AF21" s="459">
        <f t="shared" si="5"/>
        <v>0</v>
      </c>
      <c r="AG21" s="543"/>
      <c r="AH21" s="544"/>
      <c r="AI21" s="544"/>
      <c r="AJ21" s="544"/>
      <c r="AK21" s="544"/>
      <c r="AL21" s="12"/>
      <c r="AU21" s="11"/>
      <c r="AV21" s="77"/>
      <c r="AW21" s="58"/>
      <c r="AX21" s="58"/>
      <c r="AY21" s="58"/>
      <c r="AZ21" s="11"/>
    </row>
    <row r="22" spans="2:52" ht="30" customHeight="1">
      <c r="B22" s="15"/>
      <c r="C22" s="74">
        <v>13</v>
      </c>
      <c r="D22" s="407"/>
      <c r="E22" s="407"/>
      <c r="F22" s="614"/>
      <c r="G22" s="75" t="str">
        <f t="shared" si="0"/>
        <v/>
      </c>
      <c r="H22" s="408"/>
      <c r="I22" s="404"/>
      <c r="J22" s="404"/>
      <c r="K22" s="76">
        <f>+VLOOKUP($J$8,'9. Fatores de conversão'!$A$6:$I$14,6,FALSE)*J22</f>
        <v>0</v>
      </c>
      <c r="L22" s="449">
        <f>IF(D22="",0,'1. Identificação Ben. Oper.'!$D$47*J22)</f>
        <v>0</v>
      </c>
      <c r="M22" s="408"/>
      <c r="N22" s="404"/>
      <c r="O22" s="404"/>
      <c r="P22" s="76">
        <f>+VLOOKUP($O$8,'9. Fatores de conversão'!$A$6:$I$14,6,FALSE)*O22</f>
        <v>0</v>
      </c>
      <c r="Q22" s="449">
        <f>IF(D22="",0,'1. Identificação Ben. Oper.'!$D$47*O22)</f>
        <v>0</v>
      </c>
      <c r="R22" s="521">
        <f t="shared" si="1"/>
        <v>0</v>
      </c>
      <c r="S22" s="397">
        <f>IF(D22="",0,'1. Identificação Ben. Oper.'!$D$47*R22)</f>
        <v>0</v>
      </c>
      <c r="T22" s="398">
        <f t="shared" si="2"/>
        <v>0</v>
      </c>
      <c r="U22" s="76">
        <f>IF(R22="","",VLOOKUP($R$8,'9. Fatores de conversão'!$A$6:$I$14,3,FALSE)*R22)</f>
        <v>0</v>
      </c>
      <c r="V22" s="76">
        <f>IF($R$8="","",VLOOKUP($R$8,'9. Fatores de conversão'!$A$6:$J$12,6,FALSE)*R22)</f>
        <v>0</v>
      </c>
      <c r="W22" s="522">
        <f>IF($R$8="","",(VLOOKUP($R$8,'9. Fatores de conversão'!$A$6:$I$12,9,FALSE)*R22)/1000)</f>
        <v>0</v>
      </c>
      <c r="X22" s="416"/>
      <c r="Y22" s="405"/>
      <c r="Z22" s="409"/>
      <c r="AA22" s="461">
        <f t="shared" si="3"/>
        <v>0</v>
      </c>
      <c r="AB22" s="410"/>
      <c r="AC22" s="411"/>
      <c r="AD22" s="397">
        <f t="shared" si="4"/>
        <v>0</v>
      </c>
      <c r="AE22" s="527">
        <v>0</v>
      </c>
      <c r="AF22" s="459">
        <f t="shared" si="5"/>
        <v>0</v>
      </c>
      <c r="AG22" s="543"/>
      <c r="AH22" s="544"/>
      <c r="AI22" s="544"/>
      <c r="AJ22" s="544"/>
      <c r="AK22" s="544"/>
      <c r="AL22" s="12"/>
      <c r="AU22" s="11"/>
      <c r="AV22" s="77"/>
      <c r="AW22" s="58"/>
      <c r="AX22" s="58"/>
      <c r="AY22" s="58"/>
      <c r="AZ22" s="11"/>
    </row>
    <row r="23" spans="2:52" ht="30" customHeight="1">
      <c r="B23" s="15"/>
      <c r="C23" s="74">
        <v>14</v>
      </c>
      <c r="D23" s="407"/>
      <c r="E23" s="407"/>
      <c r="F23" s="614"/>
      <c r="G23" s="75" t="str">
        <f t="shared" si="0"/>
        <v/>
      </c>
      <c r="H23" s="408"/>
      <c r="I23" s="404"/>
      <c r="J23" s="404"/>
      <c r="K23" s="76">
        <f>+VLOOKUP($J$8,'9. Fatores de conversão'!$A$6:$I$14,6,FALSE)*J23</f>
        <v>0</v>
      </c>
      <c r="L23" s="449">
        <f>IF(D23="",0,'1. Identificação Ben. Oper.'!$D$47*J23)</f>
        <v>0</v>
      </c>
      <c r="M23" s="408"/>
      <c r="N23" s="404"/>
      <c r="O23" s="404"/>
      <c r="P23" s="76">
        <f>+VLOOKUP($O$8,'9. Fatores de conversão'!$A$6:$I$14,6,FALSE)*O23</f>
        <v>0</v>
      </c>
      <c r="Q23" s="449">
        <f>IF(D23="",0,'1. Identificação Ben. Oper.'!$D$47*O23)</f>
        <v>0</v>
      </c>
      <c r="R23" s="521">
        <f t="shared" si="1"/>
        <v>0</v>
      </c>
      <c r="S23" s="397">
        <f>IF(D23="",0,'1. Identificação Ben. Oper.'!$D$47*R23)</f>
        <v>0</v>
      </c>
      <c r="T23" s="398">
        <f t="shared" si="2"/>
        <v>0</v>
      </c>
      <c r="U23" s="76">
        <f>IF(R23="","",VLOOKUP($R$8,'9. Fatores de conversão'!$A$6:$I$14,3,FALSE)*R23)</f>
        <v>0</v>
      </c>
      <c r="V23" s="76">
        <f>IF($R$8="","",VLOOKUP($R$8,'9. Fatores de conversão'!$A$6:$J$12,6,FALSE)*R23)</f>
        <v>0</v>
      </c>
      <c r="W23" s="522">
        <f>IF($R$8="","",(VLOOKUP($R$8,'9. Fatores de conversão'!$A$6:$I$12,9,FALSE)*R23)/1000)</f>
        <v>0</v>
      </c>
      <c r="X23" s="416"/>
      <c r="Y23" s="405"/>
      <c r="Z23" s="409"/>
      <c r="AA23" s="461">
        <f t="shared" si="3"/>
        <v>0</v>
      </c>
      <c r="AB23" s="410"/>
      <c r="AC23" s="411"/>
      <c r="AD23" s="397">
        <f t="shared" si="4"/>
        <v>0</v>
      </c>
      <c r="AE23" s="527">
        <v>0</v>
      </c>
      <c r="AF23" s="459">
        <f t="shared" si="5"/>
        <v>0</v>
      </c>
      <c r="AG23" s="543"/>
      <c r="AH23" s="544"/>
      <c r="AI23" s="544"/>
      <c r="AJ23" s="544"/>
      <c r="AK23" s="544"/>
      <c r="AL23" s="12"/>
      <c r="AU23" s="11"/>
      <c r="AV23" s="77"/>
      <c r="AW23" s="58"/>
      <c r="AX23" s="58"/>
      <c r="AY23" s="58"/>
      <c r="AZ23" s="11"/>
    </row>
    <row r="24" spans="2:52" ht="30" customHeight="1" thickBot="1">
      <c r="B24" s="15"/>
      <c r="C24" s="78">
        <v>15</v>
      </c>
      <c r="D24" s="414"/>
      <c r="E24" s="414"/>
      <c r="F24" s="615"/>
      <c r="G24" s="518" t="str">
        <f t="shared" si="0"/>
        <v/>
      </c>
      <c r="H24" s="628"/>
      <c r="I24" s="415"/>
      <c r="J24" s="415"/>
      <c r="K24" s="629">
        <f>+VLOOKUP($J$8,'9. Fatores de conversão'!$A$6:$I$14,6,FALSE)*J24</f>
        <v>0</v>
      </c>
      <c r="L24" s="630">
        <f>IF(D24="",0,'1. Identificação Ben. Oper.'!$D$47*J24)</f>
        <v>0</v>
      </c>
      <c r="M24" s="628"/>
      <c r="N24" s="636"/>
      <c r="O24" s="636"/>
      <c r="P24" s="516">
        <f>+VLOOKUP($O$8,'9. Fatores de conversão'!$A$6:$I$14,6,FALSE)*O24</f>
        <v>0</v>
      </c>
      <c r="Q24" s="639">
        <f>IF(D24="",0,'1. Identificação Ben. Oper.'!$D$47*O24)</f>
        <v>0</v>
      </c>
      <c r="R24" s="523">
        <f t="shared" si="1"/>
        <v>0</v>
      </c>
      <c r="S24" s="470">
        <f>IF(D24="",0,'1. Identificação Ben. Oper.'!$D$47*R24)</f>
        <v>0</v>
      </c>
      <c r="T24" s="472">
        <f t="shared" si="2"/>
        <v>0</v>
      </c>
      <c r="U24" s="473">
        <f>IF(R24="","",VLOOKUP($R$8,'9. Fatores de conversão'!$A$6:$I$14,3,FALSE)*R24)</f>
        <v>0</v>
      </c>
      <c r="V24" s="473">
        <f>IF($R$8="","",VLOOKUP($R$8,'9. Fatores de conversão'!$A$6:$J$12,6,FALSE)*R24)</f>
        <v>0</v>
      </c>
      <c r="W24" s="524">
        <f>IF($R$8="","",(VLOOKUP($R$8,'9. Fatores de conversão'!$A$6:$I$12,9,FALSE)*R24)/1000)</f>
        <v>0</v>
      </c>
      <c r="X24" s="662"/>
      <c r="Y24" s="417"/>
      <c r="Z24" s="409"/>
      <c r="AA24" s="461">
        <f t="shared" si="3"/>
        <v>0</v>
      </c>
      <c r="AB24" s="412"/>
      <c r="AC24" s="413"/>
      <c r="AD24" s="397">
        <f t="shared" si="4"/>
        <v>0</v>
      </c>
      <c r="AE24" s="527">
        <v>0</v>
      </c>
      <c r="AF24" s="459">
        <f t="shared" si="5"/>
        <v>0</v>
      </c>
      <c r="AG24" s="543"/>
      <c r="AH24" s="544"/>
      <c r="AI24" s="544"/>
      <c r="AJ24" s="544"/>
      <c r="AK24" s="544"/>
      <c r="AL24" s="12"/>
      <c r="AU24" s="11"/>
      <c r="AV24" s="77"/>
      <c r="AW24" s="58"/>
      <c r="AX24" s="58"/>
      <c r="AY24" s="58"/>
      <c r="AZ24" s="11"/>
    </row>
    <row r="25" spans="2:52" ht="15.75" thickBot="1">
      <c r="B25" s="15"/>
      <c r="C25" s="20"/>
      <c r="D25" s="11"/>
      <c r="E25" s="11"/>
      <c r="F25" s="11"/>
      <c r="I25" s="611">
        <f>SUM(I10:I24)</f>
        <v>0</v>
      </c>
      <c r="J25" s="637">
        <f>SUM(J10:J24)</f>
        <v>0</v>
      </c>
      <c r="K25" s="532">
        <f>SUM(K10:K24)</f>
        <v>0</v>
      </c>
      <c r="L25" s="533">
        <f t="shared" ref="L25:Y25" si="7">SUM(L10:L24)</f>
        <v>0</v>
      </c>
      <c r="M25" s="20"/>
      <c r="N25" s="611">
        <f>SUM(N10:N24)</f>
        <v>0</v>
      </c>
      <c r="O25" s="637">
        <f t="shared" si="7"/>
        <v>0</v>
      </c>
      <c r="P25" s="532">
        <f t="shared" si="7"/>
        <v>0</v>
      </c>
      <c r="Q25" s="533">
        <f t="shared" si="7"/>
        <v>0</v>
      </c>
      <c r="R25" s="638">
        <f t="shared" si="7"/>
        <v>0</v>
      </c>
      <c r="S25" s="534">
        <f t="shared" si="7"/>
        <v>0</v>
      </c>
      <c r="T25" s="535">
        <f t="shared" si="2"/>
        <v>0</v>
      </c>
      <c r="U25" s="536">
        <f t="shared" si="7"/>
        <v>0</v>
      </c>
      <c r="V25" s="536">
        <f t="shared" si="7"/>
        <v>0</v>
      </c>
      <c r="W25" s="663">
        <f t="shared" si="7"/>
        <v>0</v>
      </c>
      <c r="X25" s="530">
        <f t="shared" si="7"/>
        <v>0</v>
      </c>
      <c r="Y25" s="664">
        <f t="shared" si="7"/>
        <v>0</v>
      </c>
      <c r="Z25" s="525"/>
      <c r="AA25" s="277"/>
      <c r="AB25" s="530">
        <f>SUM(AB10:AB24)</f>
        <v>0</v>
      </c>
      <c r="AC25" s="531">
        <f t="shared" ref="AC25:AE25" si="8">SUM(AC10:AC24)</f>
        <v>0</v>
      </c>
      <c r="AD25" s="531">
        <f t="shared" si="8"/>
        <v>0</v>
      </c>
      <c r="AE25" s="531">
        <f t="shared" si="8"/>
        <v>0</v>
      </c>
      <c r="AF25" s="529">
        <f t="shared" si="5"/>
        <v>0</v>
      </c>
      <c r="AG25" s="545"/>
      <c r="AH25" s="546"/>
      <c r="AI25" s="546"/>
      <c r="AJ25" s="546"/>
      <c r="AK25" s="546"/>
      <c r="AL25" s="12"/>
      <c r="AT25" s="30"/>
      <c r="AU25" s="77"/>
      <c r="AV25" s="58"/>
      <c r="AW25" s="58"/>
      <c r="AX25" s="58"/>
      <c r="AY25" s="11"/>
    </row>
    <row r="26" spans="2:52" s="1" customFormat="1" ht="30" customHeight="1" thickBot="1">
      <c r="B26" s="9"/>
      <c r="C26" s="830" t="s">
        <v>174</v>
      </c>
      <c r="D26" s="831"/>
      <c r="E26" s="451">
        <f>AB25+AC25</f>
        <v>0</v>
      </c>
      <c r="F26" s="20"/>
      <c r="G26" s="20"/>
      <c r="H26" s="20"/>
      <c r="I26" s="20"/>
      <c r="J26" s="20"/>
      <c r="K26" s="20"/>
      <c r="L26" s="20"/>
      <c r="M26" s="52"/>
      <c r="N26" s="52"/>
      <c r="O26" s="19"/>
      <c r="P26" s="79"/>
      <c r="Q26" s="52"/>
      <c r="R26" s="52"/>
      <c r="S26" s="52"/>
      <c r="T26" s="79"/>
      <c r="U26" s="52"/>
      <c r="V26" s="20"/>
      <c r="W26" s="20"/>
      <c r="X26" s="20"/>
      <c r="Y26" s="20"/>
      <c r="Z26" s="20"/>
      <c r="AL26" s="80"/>
      <c r="AN26" s="58"/>
      <c r="AO26" s="20"/>
    </row>
    <row r="27" spans="2:52" ht="30" customHeight="1" thickBot="1">
      <c r="B27" s="15"/>
      <c r="C27" s="830" t="s">
        <v>175</v>
      </c>
      <c r="D27" s="831"/>
      <c r="E27" s="451">
        <f>AD25</f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3"/>
      <c r="AB27" s="3"/>
      <c r="AL27" s="12"/>
      <c r="AN27" s="58"/>
      <c r="AO27" s="11"/>
    </row>
    <row r="28" spans="2:52" ht="30" customHeight="1" thickBot="1">
      <c r="B28" s="15"/>
      <c r="C28" s="830" t="s">
        <v>219</v>
      </c>
      <c r="D28" s="831"/>
      <c r="E28" s="451">
        <f>E26-E27</f>
        <v>0</v>
      </c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3"/>
      <c r="AB28" s="3"/>
      <c r="AL28" s="12"/>
      <c r="AN28" s="58"/>
      <c r="AO28" s="11"/>
    </row>
    <row r="29" spans="2:52">
      <c r="B29" s="15"/>
      <c r="C29" s="826" t="s">
        <v>249</v>
      </c>
      <c r="D29" s="826"/>
      <c r="E29" s="82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58"/>
      <c r="AA29" s="3"/>
      <c r="AB29" s="62"/>
      <c r="AL29" s="54"/>
    </row>
    <row r="30" spans="2:52" ht="15.75" thickBot="1">
      <c r="B30" s="15"/>
      <c r="C30" s="2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58"/>
      <c r="AG30" s="58"/>
      <c r="AH30" s="58"/>
      <c r="AI30" s="58"/>
      <c r="AK30" s="62"/>
      <c r="AL30" s="54"/>
      <c r="AN30" s="11"/>
      <c r="AO30" s="58"/>
      <c r="AP30" s="58"/>
      <c r="AQ30" s="11"/>
    </row>
    <row r="31" spans="2:52" ht="56.25" customHeight="1" thickBot="1">
      <c r="B31" s="15"/>
      <c r="C31" s="81" t="s">
        <v>32</v>
      </c>
      <c r="D31" s="82"/>
      <c r="E31" s="82"/>
      <c r="F31" s="82"/>
      <c r="G31" s="82"/>
      <c r="H31" s="82"/>
      <c r="I31" s="82"/>
      <c r="J31" s="814" t="s">
        <v>268</v>
      </c>
      <c r="K31" s="815"/>
      <c r="L31" s="815"/>
      <c r="M31" s="815"/>
      <c r="N31" s="815"/>
      <c r="O31" s="815"/>
      <c r="P31" s="815"/>
      <c r="Q31" s="815"/>
      <c r="R31" s="815"/>
      <c r="S31" s="815"/>
      <c r="T31" s="815"/>
      <c r="U31" s="815"/>
      <c r="V31" s="815"/>
      <c r="W31" s="815"/>
      <c r="X31" s="815"/>
      <c r="Y31" s="815"/>
      <c r="Z31" s="815"/>
      <c r="AA31" s="815"/>
      <c r="AB31" s="815"/>
      <c r="AC31" s="815"/>
      <c r="AD31" s="815"/>
      <c r="AE31" s="815"/>
      <c r="AF31" s="815"/>
      <c r="AG31" s="815"/>
      <c r="AH31" s="815"/>
      <c r="AI31" s="816"/>
      <c r="AK31" s="11"/>
      <c r="AL31" s="54"/>
      <c r="AM31" s="58"/>
      <c r="AN31" s="11"/>
    </row>
    <row r="32" spans="2:52" ht="15.75" thickBot="1">
      <c r="B32" s="15"/>
      <c r="C32" s="83"/>
      <c r="D32" s="84"/>
      <c r="E32" s="84"/>
      <c r="F32" s="84"/>
      <c r="G32" s="85"/>
      <c r="H32" s="85"/>
      <c r="I32" s="84"/>
      <c r="J32" s="811" t="s">
        <v>22</v>
      </c>
      <c r="K32" s="812"/>
      <c r="L32" s="812"/>
      <c r="M32" s="812"/>
      <c r="N32" s="812"/>
      <c r="O32" s="812"/>
      <c r="P32" s="812"/>
      <c r="Q32" s="812"/>
      <c r="R32" s="812"/>
      <c r="S32" s="812"/>
      <c r="T32" s="812"/>
      <c r="U32" s="812"/>
      <c r="V32" s="812"/>
      <c r="W32" s="812"/>
      <c r="X32" s="812"/>
      <c r="Y32" s="812"/>
      <c r="Z32" s="812"/>
      <c r="AA32" s="812"/>
      <c r="AB32" s="812"/>
      <c r="AC32" s="812"/>
      <c r="AD32" s="812"/>
      <c r="AE32" s="812"/>
      <c r="AF32" s="812"/>
      <c r="AG32" s="812"/>
      <c r="AH32" s="813"/>
      <c r="AI32" s="86"/>
      <c r="AK32" s="62"/>
      <c r="AL32" s="54"/>
      <c r="AN32" s="11"/>
      <c r="AO32" s="58"/>
      <c r="AP32" s="58"/>
      <c r="AQ32" s="11"/>
    </row>
    <row r="33" spans="2:43" ht="28.5" customHeight="1" thickBot="1">
      <c r="B33" s="15"/>
      <c r="C33" s="87" t="s">
        <v>33</v>
      </c>
      <c r="D33" s="88" t="s">
        <v>86</v>
      </c>
      <c r="E33" s="88" t="s">
        <v>85</v>
      </c>
      <c r="F33" s="88" t="s">
        <v>90</v>
      </c>
      <c r="G33" s="641" t="s">
        <v>51</v>
      </c>
      <c r="H33" s="652"/>
      <c r="I33" s="652"/>
      <c r="J33" s="599">
        <v>1</v>
      </c>
      <c r="K33" s="599">
        <v>2</v>
      </c>
      <c r="L33" s="599">
        <v>3</v>
      </c>
      <c r="M33" s="599">
        <v>4</v>
      </c>
      <c r="N33" s="599">
        <v>5</v>
      </c>
      <c r="O33" s="599">
        <v>6</v>
      </c>
      <c r="P33" s="599">
        <v>7</v>
      </c>
      <c r="Q33" s="599">
        <v>8</v>
      </c>
      <c r="R33" s="599">
        <v>9</v>
      </c>
      <c r="S33" s="599">
        <v>10</v>
      </c>
      <c r="T33" s="599">
        <v>11</v>
      </c>
      <c r="U33" s="599">
        <v>12</v>
      </c>
      <c r="V33" s="599">
        <v>13</v>
      </c>
      <c r="W33" s="599">
        <v>14</v>
      </c>
      <c r="X33" s="599">
        <v>15</v>
      </c>
      <c r="Y33" s="599">
        <v>16</v>
      </c>
      <c r="Z33" s="599">
        <v>17</v>
      </c>
      <c r="AA33" s="599">
        <v>18</v>
      </c>
      <c r="AB33" s="599">
        <v>19</v>
      </c>
      <c r="AC33" s="599">
        <v>20</v>
      </c>
      <c r="AD33" s="599">
        <v>21</v>
      </c>
      <c r="AE33" s="599">
        <v>22</v>
      </c>
      <c r="AF33" s="599">
        <v>23</v>
      </c>
      <c r="AG33" s="599">
        <v>24</v>
      </c>
      <c r="AH33" s="599">
        <v>25</v>
      </c>
      <c r="AI33" s="600" t="s">
        <v>34</v>
      </c>
      <c r="AK33" s="62"/>
      <c r="AL33" s="54"/>
      <c r="AN33" s="11"/>
      <c r="AO33" s="11"/>
      <c r="AP33" s="11"/>
      <c r="AQ33" s="11"/>
    </row>
    <row r="34" spans="2:43" ht="15.75" thickBot="1">
      <c r="B34" s="15"/>
      <c r="C34" s="660">
        <f t="shared" ref="C34:C48" si="9">C10</f>
        <v>1</v>
      </c>
      <c r="D34" s="643">
        <f t="shared" ref="D34:D48" si="10">S10</f>
        <v>0</v>
      </c>
      <c r="E34" s="643">
        <f t="shared" ref="E34:E48" si="11">X10</f>
        <v>0</v>
      </c>
      <c r="F34" s="643">
        <f t="shared" ref="F34:F48" si="12">Y10</f>
        <v>0</v>
      </c>
      <c r="G34" s="643">
        <f>IF(D34="",0,D34-E34)</f>
        <v>0</v>
      </c>
      <c r="H34" s="643"/>
      <c r="I34" s="644"/>
      <c r="J34" s="91">
        <f t="shared" ref="J34:AH34" si="13">IF($G10&gt;=25,$G34,IF(J$33&lt;=$G10,$G34,IF(J$33&lt;=($G10*($Z10+1)),$G34,0)))-IF($G10="",0,IF(J$33-1&lt;=($G10*$Z10),$F34,0))*IF(OR($AA10=0,$AA10&gt;25),0,IF(MOD(J$33,$G10)=0,1,0))</f>
        <v>0</v>
      </c>
      <c r="K34" s="91">
        <f t="shared" si="13"/>
        <v>0</v>
      </c>
      <c r="L34" s="91">
        <f t="shared" si="13"/>
        <v>0</v>
      </c>
      <c r="M34" s="91">
        <f t="shared" si="13"/>
        <v>0</v>
      </c>
      <c r="N34" s="91">
        <f t="shared" si="13"/>
        <v>0</v>
      </c>
      <c r="O34" s="91">
        <f t="shared" si="13"/>
        <v>0</v>
      </c>
      <c r="P34" s="91">
        <f t="shared" si="13"/>
        <v>0</v>
      </c>
      <c r="Q34" s="91">
        <f t="shared" si="13"/>
        <v>0</v>
      </c>
      <c r="R34" s="91">
        <f t="shared" si="13"/>
        <v>0</v>
      </c>
      <c r="S34" s="91">
        <f t="shared" si="13"/>
        <v>0</v>
      </c>
      <c r="T34" s="91">
        <f t="shared" si="13"/>
        <v>0</v>
      </c>
      <c r="U34" s="91">
        <f t="shared" si="13"/>
        <v>0</v>
      </c>
      <c r="V34" s="91">
        <f t="shared" si="13"/>
        <v>0</v>
      </c>
      <c r="W34" s="91">
        <f t="shared" si="13"/>
        <v>0</v>
      </c>
      <c r="X34" s="91">
        <f t="shared" si="13"/>
        <v>0</v>
      </c>
      <c r="Y34" s="91">
        <f t="shared" si="13"/>
        <v>0</v>
      </c>
      <c r="Z34" s="91">
        <f t="shared" si="13"/>
        <v>0</v>
      </c>
      <c r="AA34" s="91">
        <f t="shared" si="13"/>
        <v>0</v>
      </c>
      <c r="AB34" s="91">
        <f t="shared" si="13"/>
        <v>0</v>
      </c>
      <c r="AC34" s="91">
        <f t="shared" si="13"/>
        <v>0</v>
      </c>
      <c r="AD34" s="91">
        <f t="shared" si="13"/>
        <v>0</v>
      </c>
      <c r="AE34" s="91">
        <f t="shared" si="13"/>
        <v>0</v>
      </c>
      <c r="AF34" s="91">
        <f t="shared" si="13"/>
        <v>0</v>
      </c>
      <c r="AG34" s="91">
        <f t="shared" si="13"/>
        <v>0</v>
      </c>
      <c r="AH34" s="91">
        <f t="shared" si="13"/>
        <v>0</v>
      </c>
      <c r="AI34" s="92">
        <f t="shared" ref="AI34:AI48" si="14">SUM(J34:AH34)</f>
        <v>0</v>
      </c>
      <c r="AK34" s="62"/>
      <c r="AL34" s="54"/>
    </row>
    <row r="35" spans="2:43" ht="15.75" thickBot="1">
      <c r="B35" s="15"/>
      <c r="C35" s="661">
        <f t="shared" si="9"/>
        <v>2</v>
      </c>
      <c r="D35" s="645">
        <f t="shared" si="10"/>
        <v>0</v>
      </c>
      <c r="E35" s="645">
        <f t="shared" si="11"/>
        <v>0</v>
      </c>
      <c r="F35" s="645">
        <f t="shared" si="12"/>
        <v>0</v>
      </c>
      <c r="G35" s="645">
        <f t="shared" ref="G35:G48" si="15">IF(D35="",0,D35-E35)</f>
        <v>0</v>
      </c>
      <c r="H35" s="645"/>
      <c r="I35" s="646"/>
      <c r="J35" s="91">
        <f t="shared" ref="J35:AH35" si="16">IF($G11&gt;=25,$G35,IF(J$33&lt;=$G11,$G35,IF(J$33&lt;=($G11*($Z11+1)),$G35,0)))-IF($G11="",0,IF(J$33-1&lt;=($G11*$Z11),$F35,0))*IF(OR($AA11=0,$AA11&gt;25),0,IF(MOD(J$33,$G11)=0,1,0))</f>
        <v>0</v>
      </c>
      <c r="K35" s="91">
        <f t="shared" si="16"/>
        <v>0</v>
      </c>
      <c r="L35" s="91">
        <f t="shared" si="16"/>
        <v>0</v>
      </c>
      <c r="M35" s="91">
        <f t="shared" si="16"/>
        <v>0</v>
      </c>
      <c r="N35" s="91">
        <f t="shared" si="16"/>
        <v>0</v>
      </c>
      <c r="O35" s="91">
        <f t="shared" si="16"/>
        <v>0</v>
      </c>
      <c r="P35" s="91">
        <f t="shared" si="16"/>
        <v>0</v>
      </c>
      <c r="Q35" s="91">
        <f t="shared" si="16"/>
        <v>0</v>
      </c>
      <c r="R35" s="91">
        <f t="shared" si="16"/>
        <v>0</v>
      </c>
      <c r="S35" s="91">
        <f t="shared" si="16"/>
        <v>0</v>
      </c>
      <c r="T35" s="91">
        <f t="shared" si="16"/>
        <v>0</v>
      </c>
      <c r="U35" s="91">
        <f t="shared" si="16"/>
        <v>0</v>
      </c>
      <c r="V35" s="91">
        <f t="shared" si="16"/>
        <v>0</v>
      </c>
      <c r="W35" s="91">
        <f t="shared" si="16"/>
        <v>0</v>
      </c>
      <c r="X35" s="91">
        <f t="shared" si="16"/>
        <v>0</v>
      </c>
      <c r="Y35" s="91">
        <f t="shared" si="16"/>
        <v>0</v>
      </c>
      <c r="Z35" s="91">
        <f t="shared" si="16"/>
        <v>0</v>
      </c>
      <c r="AA35" s="91">
        <f t="shared" si="16"/>
        <v>0</v>
      </c>
      <c r="AB35" s="91">
        <f t="shared" si="16"/>
        <v>0</v>
      </c>
      <c r="AC35" s="91">
        <f t="shared" si="16"/>
        <v>0</v>
      </c>
      <c r="AD35" s="91">
        <f t="shared" si="16"/>
        <v>0</v>
      </c>
      <c r="AE35" s="91">
        <f t="shared" si="16"/>
        <v>0</v>
      </c>
      <c r="AF35" s="91">
        <f t="shared" si="16"/>
        <v>0</v>
      </c>
      <c r="AG35" s="91">
        <f t="shared" si="16"/>
        <v>0</v>
      </c>
      <c r="AH35" s="91">
        <f t="shared" si="16"/>
        <v>0</v>
      </c>
      <c r="AI35" s="92">
        <f t="shared" si="14"/>
        <v>0</v>
      </c>
      <c r="AK35" s="62"/>
      <c r="AL35" s="54"/>
    </row>
    <row r="36" spans="2:43" ht="15.75" thickBot="1">
      <c r="B36" s="15"/>
      <c r="C36" s="660">
        <f t="shared" si="9"/>
        <v>3</v>
      </c>
      <c r="D36" s="643">
        <f t="shared" si="10"/>
        <v>0</v>
      </c>
      <c r="E36" s="643">
        <f t="shared" si="11"/>
        <v>0</v>
      </c>
      <c r="F36" s="643">
        <f t="shared" si="12"/>
        <v>0</v>
      </c>
      <c r="G36" s="643">
        <f t="shared" si="15"/>
        <v>0</v>
      </c>
      <c r="H36" s="643"/>
      <c r="I36" s="647"/>
      <c r="J36" s="91">
        <f t="shared" ref="J36:AH36" si="17">IF($G12&gt;=25,$G36,IF(J$33&lt;=$G12,$G36,IF(J$33&lt;=($G12*($Z12+1)),$G36,0)))-IF($G12="",0,IF(J$33-1&lt;=($G12*$Z12),$F36,0))*IF(OR($AA12=0,$AA12&gt;25),0,IF(MOD(J$33,$G12)=0,1,0))</f>
        <v>0</v>
      </c>
      <c r="K36" s="91">
        <f t="shared" si="17"/>
        <v>0</v>
      </c>
      <c r="L36" s="91">
        <f t="shared" si="17"/>
        <v>0</v>
      </c>
      <c r="M36" s="91">
        <f t="shared" si="17"/>
        <v>0</v>
      </c>
      <c r="N36" s="91">
        <f t="shared" si="17"/>
        <v>0</v>
      </c>
      <c r="O36" s="91">
        <f t="shared" si="17"/>
        <v>0</v>
      </c>
      <c r="P36" s="91">
        <f t="shared" si="17"/>
        <v>0</v>
      </c>
      <c r="Q36" s="91">
        <f t="shared" si="17"/>
        <v>0</v>
      </c>
      <c r="R36" s="91">
        <f t="shared" si="17"/>
        <v>0</v>
      </c>
      <c r="S36" s="91">
        <f t="shared" si="17"/>
        <v>0</v>
      </c>
      <c r="T36" s="91">
        <f t="shared" si="17"/>
        <v>0</v>
      </c>
      <c r="U36" s="91">
        <f t="shared" si="17"/>
        <v>0</v>
      </c>
      <c r="V36" s="91">
        <f t="shared" si="17"/>
        <v>0</v>
      </c>
      <c r="W36" s="91">
        <f t="shared" si="17"/>
        <v>0</v>
      </c>
      <c r="X36" s="91">
        <f t="shared" si="17"/>
        <v>0</v>
      </c>
      <c r="Y36" s="91">
        <f t="shared" si="17"/>
        <v>0</v>
      </c>
      <c r="Z36" s="91">
        <f t="shared" si="17"/>
        <v>0</v>
      </c>
      <c r="AA36" s="91">
        <f t="shared" si="17"/>
        <v>0</v>
      </c>
      <c r="AB36" s="91">
        <f t="shared" si="17"/>
        <v>0</v>
      </c>
      <c r="AC36" s="91">
        <f t="shared" si="17"/>
        <v>0</v>
      </c>
      <c r="AD36" s="91">
        <f t="shared" si="17"/>
        <v>0</v>
      </c>
      <c r="AE36" s="91">
        <f t="shared" si="17"/>
        <v>0</v>
      </c>
      <c r="AF36" s="91">
        <f t="shared" si="17"/>
        <v>0</v>
      </c>
      <c r="AG36" s="91">
        <f t="shared" si="17"/>
        <v>0</v>
      </c>
      <c r="AH36" s="91">
        <f t="shared" si="17"/>
        <v>0</v>
      </c>
      <c r="AI36" s="92">
        <f t="shared" si="14"/>
        <v>0</v>
      </c>
      <c r="AK36" s="62"/>
      <c r="AL36" s="54"/>
    </row>
    <row r="37" spans="2:43" ht="15.75" thickBot="1">
      <c r="B37" s="15"/>
      <c r="C37" s="661">
        <f t="shared" si="9"/>
        <v>4</v>
      </c>
      <c r="D37" s="645">
        <f t="shared" si="10"/>
        <v>0</v>
      </c>
      <c r="E37" s="645">
        <f t="shared" si="11"/>
        <v>0</v>
      </c>
      <c r="F37" s="645">
        <f t="shared" si="12"/>
        <v>0</v>
      </c>
      <c r="G37" s="645">
        <f t="shared" si="15"/>
        <v>0</v>
      </c>
      <c r="H37" s="645"/>
      <c r="I37" s="646"/>
      <c r="J37" s="91">
        <f t="shared" ref="J37:AH37" si="18">IF($G13&gt;=25,$G37,IF(J$33&lt;=$G13,$G37,IF(J$33&lt;=($G13*($Z13+1)),$G37,0)))-IF($G13="",0,IF(J$33-1&lt;=($G13*$Z13),$F37,0))*IF(OR($AA13=0,$AA13&gt;25),0,IF(MOD(J$33,$G13)=0,1,0))</f>
        <v>0</v>
      </c>
      <c r="K37" s="91">
        <f t="shared" si="18"/>
        <v>0</v>
      </c>
      <c r="L37" s="91">
        <f t="shared" si="18"/>
        <v>0</v>
      </c>
      <c r="M37" s="91">
        <f t="shared" si="18"/>
        <v>0</v>
      </c>
      <c r="N37" s="91">
        <f t="shared" si="18"/>
        <v>0</v>
      </c>
      <c r="O37" s="91">
        <f t="shared" si="18"/>
        <v>0</v>
      </c>
      <c r="P37" s="91">
        <f t="shared" si="18"/>
        <v>0</v>
      </c>
      <c r="Q37" s="91">
        <f t="shared" si="18"/>
        <v>0</v>
      </c>
      <c r="R37" s="91">
        <f t="shared" si="18"/>
        <v>0</v>
      </c>
      <c r="S37" s="91">
        <f t="shared" si="18"/>
        <v>0</v>
      </c>
      <c r="T37" s="91">
        <f t="shared" si="18"/>
        <v>0</v>
      </c>
      <c r="U37" s="91">
        <f t="shared" si="18"/>
        <v>0</v>
      </c>
      <c r="V37" s="91">
        <f t="shared" si="18"/>
        <v>0</v>
      </c>
      <c r="W37" s="91">
        <f t="shared" si="18"/>
        <v>0</v>
      </c>
      <c r="X37" s="91">
        <f t="shared" si="18"/>
        <v>0</v>
      </c>
      <c r="Y37" s="91">
        <f t="shared" si="18"/>
        <v>0</v>
      </c>
      <c r="Z37" s="91">
        <f t="shared" si="18"/>
        <v>0</v>
      </c>
      <c r="AA37" s="91">
        <f t="shared" si="18"/>
        <v>0</v>
      </c>
      <c r="AB37" s="91">
        <f t="shared" si="18"/>
        <v>0</v>
      </c>
      <c r="AC37" s="91">
        <f t="shared" si="18"/>
        <v>0</v>
      </c>
      <c r="AD37" s="91">
        <f t="shared" si="18"/>
        <v>0</v>
      </c>
      <c r="AE37" s="91">
        <f t="shared" si="18"/>
        <v>0</v>
      </c>
      <c r="AF37" s="91">
        <f t="shared" si="18"/>
        <v>0</v>
      </c>
      <c r="AG37" s="91">
        <f t="shared" si="18"/>
        <v>0</v>
      </c>
      <c r="AH37" s="91">
        <f t="shared" si="18"/>
        <v>0</v>
      </c>
      <c r="AI37" s="92">
        <f t="shared" si="14"/>
        <v>0</v>
      </c>
      <c r="AK37" s="62"/>
      <c r="AL37" s="54"/>
    </row>
    <row r="38" spans="2:43" ht="15.75" thickBot="1">
      <c r="B38" s="15"/>
      <c r="C38" s="660">
        <f t="shared" si="9"/>
        <v>5</v>
      </c>
      <c r="D38" s="643">
        <f t="shared" si="10"/>
        <v>0</v>
      </c>
      <c r="E38" s="643">
        <f t="shared" si="11"/>
        <v>0</v>
      </c>
      <c r="F38" s="643">
        <f t="shared" si="12"/>
        <v>0</v>
      </c>
      <c r="G38" s="643">
        <f t="shared" ref="G38:G42" si="19">IF(D38="",0,D38-E38)</f>
        <v>0</v>
      </c>
      <c r="H38" s="643"/>
      <c r="I38" s="647"/>
      <c r="J38" s="91">
        <f t="shared" ref="J38:AH38" si="20">IF($G14&gt;=25,$G38,IF(J$33&lt;=$G14,$G38,IF(J$33&lt;=($G14*($Z14+1)),$G38,0)))-IF($G14="",0,IF(J$33-1&lt;=($G14*$Z14),$F38,0))*IF(OR($AA14=0,$AA14&gt;25),0,IF(MOD(J$33,$G14)=0,1,0))</f>
        <v>0</v>
      </c>
      <c r="K38" s="91">
        <f t="shared" si="20"/>
        <v>0</v>
      </c>
      <c r="L38" s="91">
        <f t="shared" si="20"/>
        <v>0</v>
      </c>
      <c r="M38" s="91">
        <f t="shared" si="20"/>
        <v>0</v>
      </c>
      <c r="N38" s="91">
        <f t="shared" si="20"/>
        <v>0</v>
      </c>
      <c r="O38" s="91">
        <f t="shared" si="20"/>
        <v>0</v>
      </c>
      <c r="P38" s="91">
        <f t="shared" si="20"/>
        <v>0</v>
      </c>
      <c r="Q38" s="91">
        <f t="shared" si="20"/>
        <v>0</v>
      </c>
      <c r="R38" s="91">
        <f t="shared" si="20"/>
        <v>0</v>
      </c>
      <c r="S38" s="91">
        <f t="shared" si="20"/>
        <v>0</v>
      </c>
      <c r="T38" s="91">
        <f t="shared" si="20"/>
        <v>0</v>
      </c>
      <c r="U38" s="91">
        <f t="shared" si="20"/>
        <v>0</v>
      </c>
      <c r="V38" s="91">
        <f t="shared" si="20"/>
        <v>0</v>
      </c>
      <c r="W38" s="91">
        <f t="shared" si="20"/>
        <v>0</v>
      </c>
      <c r="X38" s="91">
        <f t="shared" si="20"/>
        <v>0</v>
      </c>
      <c r="Y38" s="91">
        <f t="shared" si="20"/>
        <v>0</v>
      </c>
      <c r="Z38" s="91">
        <f t="shared" si="20"/>
        <v>0</v>
      </c>
      <c r="AA38" s="91">
        <f t="shared" si="20"/>
        <v>0</v>
      </c>
      <c r="AB38" s="91">
        <f t="shared" si="20"/>
        <v>0</v>
      </c>
      <c r="AC38" s="91">
        <f t="shared" si="20"/>
        <v>0</v>
      </c>
      <c r="AD38" s="91">
        <f t="shared" si="20"/>
        <v>0</v>
      </c>
      <c r="AE38" s="91">
        <f t="shared" si="20"/>
        <v>0</v>
      </c>
      <c r="AF38" s="91">
        <f t="shared" si="20"/>
        <v>0</v>
      </c>
      <c r="AG38" s="91">
        <f t="shared" si="20"/>
        <v>0</v>
      </c>
      <c r="AH38" s="91">
        <f t="shared" si="20"/>
        <v>0</v>
      </c>
      <c r="AI38" s="92">
        <f t="shared" si="14"/>
        <v>0</v>
      </c>
      <c r="AK38" s="62"/>
      <c r="AL38" s="54"/>
    </row>
    <row r="39" spans="2:43" ht="15.75" thickBot="1">
      <c r="B39" s="15"/>
      <c r="C39" s="661">
        <f t="shared" si="9"/>
        <v>6</v>
      </c>
      <c r="D39" s="645">
        <f t="shared" si="10"/>
        <v>0</v>
      </c>
      <c r="E39" s="645">
        <f t="shared" si="11"/>
        <v>0</v>
      </c>
      <c r="F39" s="645">
        <f t="shared" si="12"/>
        <v>0</v>
      </c>
      <c r="G39" s="645">
        <f t="shared" si="19"/>
        <v>0</v>
      </c>
      <c r="H39" s="645"/>
      <c r="I39" s="646"/>
      <c r="J39" s="91">
        <f t="shared" ref="J39:AH39" si="21">IF($G15&gt;=25,$G39,IF(J$33&lt;=$G15,$G39,IF(J$33&lt;=($G15*($Z15+1)),$G39,0)))-IF($G15="",0,IF(J$33-1&lt;=($G15*$Z15),$F39,0))*IF(OR($AA15=0,$AA15&gt;25),0,IF(MOD(J$33,$G15)=0,1,0))</f>
        <v>0</v>
      </c>
      <c r="K39" s="91">
        <f t="shared" si="21"/>
        <v>0</v>
      </c>
      <c r="L39" s="91">
        <f t="shared" si="21"/>
        <v>0</v>
      </c>
      <c r="M39" s="91">
        <f t="shared" si="21"/>
        <v>0</v>
      </c>
      <c r="N39" s="91">
        <f t="shared" si="21"/>
        <v>0</v>
      </c>
      <c r="O39" s="91">
        <f t="shared" si="21"/>
        <v>0</v>
      </c>
      <c r="P39" s="91">
        <f t="shared" si="21"/>
        <v>0</v>
      </c>
      <c r="Q39" s="91">
        <f t="shared" si="21"/>
        <v>0</v>
      </c>
      <c r="R39" s="91">
        <f t="shared" si="21"/>
        <v>0</v>
      </c>
      <c r="S39" s="91">
        <f t="shared" si="21"/>
        <v>0</v>
      </c>
      <c r="T39" s="91">
        <f t="shared" si="21"/>
        <v>0</v>
      </c>
      <c r="U39" s="91">
        <f t="shared" si="21"/>
        <v>0</v>
      </c>
      <c r="V39" s="91">
        <f t="shared" si="21"/>
        <v>0</v>
      </c>
      <c r="W39" s="91">
        <f t="shared" si="21"/>
        <v>0</v>
      </c>
      <c r="X39" s="91">
        <f t="shared" si="21"/>
        <v>0</v>
      </c>
      <c r="Y39" s="91">
        <f t="shared" si="21"/>
        <v>0</v>
      </c>
      <c r="Z39" s="91">
        <f t="shared" si="21"/>
        <v>0</v>
      </c>
      <c r="AA39" s="91">
        <f t="shared" si="21"/>
        <v>0</v>
      </c>
      <c r="AB39" s="91">
        <f t="shared" si="21"/>
        <v>0</v>
      </c>
      <c r="AC39" s="91">
        <f t="shared" si="21"/>
        <v>0</v>
      </c>
      <c r="AD39" s="91">
        <f t="shared" si="21"/>
        <v>0</v>
      </c>
      <c r="AE39" s="91">
        <f t="shared" si="21"/>
        <v>0</v>
      </c>
      <c r="AF39" s="91">
        <f t="shared" si="21"/>
        <v>0</v>
      </c>
      <c r="AG39" s="91">
        <f t="shared" si="21"/>
        <v>0</v>
      </c>
      <c r="AH39" s="91">
        <f t="shared" si="21"/>
        <v>0</v>
      </c>
      <c r="AI39" s="92">
        <f t="shared" si="14"/>
        <v>0</v>
      </c>
      <c r="AK39" s="62"/>
      <c r="AL39" s="54"/>
    </row>
    <row r="40" spans="2:43" ht="15.75" thickBot="1">
      <c r="B40" s="15"/>
      <c r="C40" s="660">
        <f t="shared" si="9"/>
        <v>7</v>
      </c>
      <c r="D40" s="643">
        <f t="shared" si="10"/>
        <v>0</v>
      </c>
      <c r="E40" s="643">
        <f t="shared" si="11"/>
        <v>0</v>
      </c>
      <c r="F40" s="643">
        <f t="shared" si="12"/>
        <v>0</v>
      </c>
      <c r="G40" s="643">
        <f t="shared" si="19"/>
        <v>0</v>
      </c>
      <c r="H40" s="643"/>
      <c r="I40" s="647"/>
      <c r="J40" s="91">
        <f t="shared" ref="J40:AH40" si="22">IF($G16&gt;=25,$G40,IF(J$33&lt;=$G16,$G40,IF(J$33&lt;=($G16*($Z16+1)),$G40,0)))-IF($G16="",0,IF(J$33-1&lt;=($G16*$Z16),$F40,0))*IF(OR($AA16=0,$AA16&gt;25),0,IF(MOD(J$33,$G16)=0,1,0))</f>
        <v>0</v>
      </c>
      <c r="K40" s="91">
        <f t="shared" si="22"/>
        <v>0</v>
      </c>
      <c r="L40" s="91">
        <f t="shared" si="22"/>
        <v>0</v>
      </c>
      <c r="M40" s="91">
        <f t="shared" si="22"/>
        <v>0</v>
      </c>
      <c r="N40" s="91">
        <f t="shared" si="22"/>
        <v>0</v>
      </c>
      <c r="O40" s="91">
        <f t="shared" si="22"/>
        <v>0</v>
      </c>
      <c r="P40" s="91">
        <f t="shared" si="22"/>
        <v>0</v>
      </c>
      <c r="Q40" s="91">
        <f t="shared" si="22"/>
        <v>0</v>
      </c>
      <c r="R40" s="91">
        <f t="shared" si="22"/>
        <v>0</v>
      </c>
      <c r="S40" s="91">
        <f t="shared" si="22"/>
        <v>0</v>
      </c>
      <c r="T40" s="91">
        <f t="shared" si="22"/>
        <v>0</v>
      </c>
      <c r="U40" s="91">
        <f t="shared" si="22"/>
        <v>0</v>
      </c>
      <c r="V40" s="91">
        <f t="shared" si="22"/>
        <v>0</v>
      </c>
      <c r="W40" s="91">
        <f t="shared" si="22"/>
        <v>0</v>
      </c>
      <c r="X40" s="91">
        <f t="shared" si="22"/>
        <v>0</v>
      </c>
      <c r="Y40" s="91">
        <f t="shared" si="22"/>
        <v>0</v>
      </c>
      <c r="Z40" s="91">
        <f t="shared" si="22"/>
        <v>0</v>
      </c>
      <c r="AA40" s="91">
        <f t="shared" si="22"/>
        <v>0</v>
      </c>
      <c r="AB40" s="91">
        <f t="shared" si="22"/>
        <v>0</v>
      </c>
      <c r="AC40" s="91">
        <f t="shared" si="22"/>
        <v>0</v>
      </c>
      <c r="AD40" s="91">
        <f t="shared" si="22"/>
        <v>0</v>
      </c>
      <c r="AE40" s="91">
        <f t="shared" si="22"/>
        <v>0</v>
      </c>
      <c r="AF40" s="91">
        <f t="shared" si="22"/>
        <v>0</v>
      </c>
      <c r="AG40" s="91">
        <f t="shared" si="22"/>
        <v>0</v>
      </c>
      <c r="AH40" s="91">
        <f t="shared" si="22"/>
        <v>0</v>
      </c>
      <c r="AI40" s="92">
        <f t="shared" si="14"/>
        <v>0</v>
      </c>
      <c r="AK40" s="62"/>
      <c r="AL40" s="54"/>
    </row>
    <row r="41" spans="2:43" ht="15.75" thickBot="1">
      <c r="B41" s="15"/>
      <c r="C41" s="661">
        <f t="shared" si="9"/>
        <v>8</v>
      </c>
      <c r="D41" s="645">
        <f t="shared" si="10"/>
        <v>0</v>
      </c>
      <c r="E41" s="645">
        <f t="shared" si="11"/>
        <v>0</v>
      </c>
      <c r="F41" s="645">
        <f t="shared" si="12"/>
        <v>0</v>
      </c>
      <c r="G41" s="645">
        <f t="shared" si="19"/>
        <v>0</v>
      </c>
      <c r="H41" s="645"/>
      <c r="I41" s="646"/>
      <c r="J41" s="91">
        <f t="shared" ref="J41:AH41" si="23">IF($G17&gt;=25,$G41,IF(J$33&lt;=$G17,$G41,IF(J$33&lt;=($G17*($Z17+1)),$G41,0)))-IF($G17="",0,IF(J$33-1&lt;=($G17*$Z17),$F41,0))*IF(OR($AA17=0,$AA17&gt;25),0,IF(MOD(J$33,$G17)=0,1,0))</f>
        <v>0</v>
      </c>
      <c r="K41" s="91">
        <f t="shared" si="23"/>
        <v>0</v>
      </c>
      <c r="L41" s="91">
        <f t="shared" si="23"/>
        <v>0</v>
      </c>
      <c r="M41" s="91">
        <f t="shared" si="23"/>
        <v>0</v>
      </c>
      <c r="N41" s="91">
        <f t="shared" si="23"/>
        <v>0</v>
      </c>
      <c r="O41" s="91">
        <f t="shared" si="23"/>
        <v>0</v>
      </c>
      <c r="P41" s="91">
        <f t="shared" si="23"/>
        <v>0</v>
      </c>
      <c r="Q41" s="91">
        <f t="shared" si="23"/>
        <v>0</v>
      </c>
      <c r="R41" s="91">
        <f t="shared" si="23"/>
        <v>0</v>
      </c>
      <c r="S41" s="91">
        <f t="shared" si="23"/>
        <v>0</v>
      </c>
      <c r="T41" s="91">
        <f t="shared" si="23"/>
        <v>0</v>
      </c>
      <c r="U41" s="91">
        <f t="shared" si="23"/>
        <v>0</v>
      </c>
      <c r="V41" s="91">
        <f t="shared" si="23"/>
        <v>0</v>
      </c>
      <c r="W41" s="91">
        <f t="shared" si="23"/>
        <v>0</v>
      </c>
      <c r="X41" s="91">
        <f t="shared" si="23"/>
        <v>0</v>
      </c>
      <c r="Y41" s="91">
        <f t="shared" si="23"/>
        <v>0</v>
      </c>
      <c r="Z41" s="91">
        <f t="shared" si="23"/>
        <v>0</v>
      </c>
      <c r="AA41" s="91">
        <f t="shared" si="23"/>
        <v>0</v>
      </c>
      <c r="AB41" s="91">
        <f t="shared" si="23"/>
        <v>0</v>
      </c>
      <c r="AC41" s="91">
        <f t="shared" si="23"/>
        <v>0</v>
      </c>
      <c r="AD41" s="91">
        <f t="shared" si="23"/>
        <v>0</v>
      </c>
      <c r="AE41" s="91">
        <f t="shared" si="23"/>
        <v>0</v>
      </c>
      <c r="AF41" s="91">
        <f t="shared" si="23"/>
        <v>0</v>
      </c>
      <c r="AG41" s="91">
        <f t="shared" si="23"/>
        <v>0</v>
      </c>
      <c r="AH41" s="91">
        <f t="shared" si="23"/>
        <v>0</v>
      </c>
      <c r="AI41" s="92">
        <f t="shared" si="14"/>
        <v>0</v>
      </c>
      <c r="AK41" s="62"/>
      <c r="AL41" s="54"/>
    </row>
    <row r="42" spans="2:43" ht="15.75" thickBot="1">
      <c r="B42" s="15"/>
      <c r="C42" s="660">
        <f t="shared" si="9"/>
        <v>9</v>
      </c>
      <c r="D42" s="643">
        <f t="shared" si="10"/>
        <v>0</v>
      </c>
      <c r="E42" s="643">
        <f t="shared" si="11"/>
        <v>0</v>
      </c>
      <c r="F42" s="643">
        <f t="shared" si="12"/>
        <v>0</v>
      </c>
      <c r="G42" s="643">
        <f t="shared" si="19"/>
        <v>0</v>
      </c>
      <c r="H42" s="643"/>
      <c r="I42" s="647"/>
      <c r="J42" s="91">
        <f t="shared" ref="J42:AH42" si="24">IF($G18&gt;=25,$G42,IF(J$33&lt;=$G18,$G42,IF(J$33&lt;=($G18*($Z18+1)),$G42,0)))-IF($G18="",0,IF(J$33-1&lt;=($G18*$Z18),$F42,0))*IF(OR($AA18=0,$AA18&gt;25),0,IF(MOD(J$33,$G18)=0,1,0))</f>
        <v>0</v>
      </c>
      <c r="K42" s="91">
        <f t="shared" si="24"/>
        <v>0</v>
      </c>
      <c r="L42" s="91">
        <f t="shared" si="24"/>
        <v>0</v>
      </c>
      <c r="M42" s="91">
        <f t="shared" si="24"/>
        <v>0</v>
      </c>
      <c r="N42" s="91">
        <f t="shared" si="24"/>
        <v>0</v>
      </c>
      <c r="O42" s="91">
        <f t="shared" si="24"/>
        <v>0</v>
      </c>
      <c r="P42" s="91">
        <f t="shared" si="24"/>
        <v>0</v>
      </c>
      <c r="Q42" s="91">
        <f t="shared" si="24"/>
        <v>0</v>
      </c>
      <c r="R42" s="91">
        <f t="shared" si="24"/>
        <v>0</v>
      </c>
      <c r="S42" s="91">
        <f t="shared" si="24"/>
        <v>0</v>
      </c>
      <c r="T42" s="91">
        <f t="shared" si="24"/>
        <v>0</v>
      </c>
      <c r="U42" s="91">
        <f t="shared" si="24"/>
        <v>0</v>
      </c>
      <c r="V42" s="91">
        <f t="shared" si="24"/>
        <v>0</v>
      </c>
      <c r="W42" s="91">
        <f t="shared" si="24"/>
        <v>0</v>
      </c>
      <c r="X42" s="91">
        <f t="shared" si="24"/>
        <v>0</v>
      </c>
      <c r="Y42" s="91">
        <f t="shared" si="24"/>
        <v>0</v>
      </c>
      <c r="Z42" s="91">
        <f t="shared" si="24"/>
        <v>0</v>
      </c>
      <c r="AA42" s="91">
        <f t="shared" si="24"/>
        <v>0</v>
      </c>
      <c r="AB42" s="91">
        <f t="shared" si="24"/>
        <v>0</v>
      </c>
      <c r="AC42" s="91">
        <f t="shared" si="24"/>
        <v>0</v>
      </c>
      <c r="AD42" s="91">
        <f t="shared" si="24"/>
        <v>0</v>
      </c>
      <c r="AE42" s="91">
        <f t="shared" si="24"/>
        <v>0</v>
      </c>
      <c r="AF42" s="91">
        <f t="shared" si="24"/>
        <v>0</v>
      </c>
      <c r="AG42" s="91">
        <f t="shared" si="24"/>
        <v>0</v>
      </c>
      <c r="AH42" s="91">
        <f t="shared" si="24"/>
        <v>0</v>
      </c>
      <c r="AI42" s="92">
        <f t="shared" si="14"/>
        <v>0</v>
      </c>
      <c r="AK42" s="62"/>
      <c r="AL42" s="54"/>
    </row>
    <row r="43" spans="2:43" ht="15.75" thickBot="1">
      <c r="B43" s="15"/>
      <c r="C43" s="661">
        <f t="shared" si="9"/>
        <v>10</v>
      </c>
      <c r="D43" s="645">
        <f t="shared" si="10"/>
        <v>0</v>
      </c>
      <c r="E43" s="645">
        <f t="shared" si="11"/>
        <v>0</v>
      </c>
      <c r="F43" s="645">
        <f t="shared" si="12"/>
        <v>0</v>
      </c>
      <c r="G43" s="645">
        <f t="shared" si="15"/>
        <v>0</v>
      </c>
      <c r="H43" s="645"/>
      <c r="I43" s="646"/>
      <c r="J43" s="91">
        <f t="shared" ref="J43:AH43" si="25">IF($G19&gt;=25,$G43,IF(J$33&lt;=$G19,$G43,IF(J$33&lt;=($G19*($Z19+1)),$G43,0)))-IF($G19="",0,IF(J$33-1&lt;=($G19*$Z19),$F43,0))*IF(OR($AA19=0,$AA19&gt;25),0,IF(MOD(J$33,$G19)=0,1,0))</f>
        <v>0</v>
      </c>
      <c r="K43" s="91">
        <f t="shared" si="25"/>
        <v>0</v>
      </c>
      <c r="L43" s="91">
        <f t="shared" si="25"/>
        <v>0</v>
      </c>
      <c r="M43" s="91">
        <f t="shared" si="25"/>
        <v>0</v>
      </c>
      <c r="N43" s="91">
        <f t="shared" si="25"/>
        <v>0</v>
      </c>
      <c r="O43" s="91">
        <f t="shared" si="25"/>
        <v>0</v>
      </c>
      <c r="P43" s="91">
        <f t="shared" si="25"/>
        <v>0</v>
      </c>
      <c r="Q43" s="91">
        <f t="shared" si="25"/>
        <v>0</v>
      </c>
      <c r="R43" s="91">
        <f t="shared" si="25"/>
        <v>0</v>
      </c>
      <c r="S43" s="91">
        <f t="shared" si="25"/>
        <v>0</v>
      </c>
      <c r="T43" s="91">
        <f t="shared" si="25"/>
        <v>0</v>
      </c>
      <c r="U43" s="91">
        <f t="shared" si="25"/>
        <v>0</v>
      </c>
      <c r="V43" s="91">
        <f t="shared" si="25"/>
        <v>0</v>
      </c>
      <c r="W43" s="91">
        <f t="shared" si="25"/>
        <v>0</v>
      </c>
      <c r="X43" s="91">
        <f t="shared" si="25"/>
        <v>0</v>
      </c>
      <c r="Y43" s="91">
        <f t="shared" si="25"/>
        <v>0</v>
      </c>
      <c r="Z43" s="91">
        <f t="shared" si="25"/>
        <v>0</v>
      </c>
      <c r="AA43" s="91">
        <f t="shared" si="25"/>
        <v>0</v>
      </c>
      <c r="AB43" s="91">
        <f t="shared" si="25"/>
        <v>0</v>
      </c>
      <c r="AC43" s="91">
        <f t="shared" si="25"/>
        <v>0</v>
      </c>
      <c r="AD43" s="91">
        <f t="shared" si="25"/>
        <v>0</v>
      </c>
      <c r="AE43" s="91">
        <f t="shared" si="25"/>
        <v>0</v>
      </c>
      <c r="AF43" s="91">
        <f t="shared" si="25"/>
        <v>0</v>
      </c>
      <c r="AG43" s="91">
        <f t="shared" si="25"/>
        <v>0</v>
      </c>
      <c r="AH43" s="91">
        <f t="shared" si="25"/>
        <v>0</v>
      </c>
      <c r="AI43" s="92">
        <f t="shared" si="14"/>
        <v>0</v>
      </c>
      <c r="AK43" s="62"/>
      <c r="AL43" s="54"/>
    </row>
    <row r="44" spans="2:43" ht="15.75" thickBot="1">
      <c r="B44" s="15"/>
      <c r="C44" s="660">
        <f t="shared" si="9"/>
        <v>11</v>
      </c>
      <c r="D44" s="643">
        <f t="shared" si="10"/>
        <v>0</v>
      </c>
      <c r="E44" s="643">
        <f t="shared" si="11"/>
        <v>0</v>
      </c>
      <c r="F44" s="643">
        <f t="shared" si="12"/>
        <v>0</v>
      </c>
      <c r="G44" s="643">
        <f t="shared" si="15"/>
        <v>0</v>
      </c>
      <c r="H44" s="643"/>
      <c r="I44" s="642"/>
      <c r="J44" s="91">
        <f t="shared" ref="J44:AH44" si="26">IF($G20&gt;=25,$G44,IF(J$33&lt;=$G20,$G44,IF(J$33&lt;=($G20*($Z20+1)),$G44,0)))-IF($G20="",0,IF(J$33-1&lt;=($G20*$Z20),$F44,0))*IF(OR($AA20=0,$AA20&gt;25),0,IF(MOD(J$33,$G20)=0,1,0))</f>
        <v>0</v>
      </c>
      <c r="K44" s="91">
        <f t="shared" si="26"/>
        <v>0</v>
      </c>
      <c r="L44" s="91">
        <f t="shared" si="26"/>
        <v>0</v>
      </c>
      <c r="M44" s="91">
        <f t="shared" si="26"/>
        <v>0</v>
      </c>
      <c r="N44" s="91">
        <f t="shared" si="26"/>
        <v>0</v>
      </c>
      <c r="O44" s="91">
        <f t="shared" si="26"/>
        <v>0</v>
      </c>
      <c r="P44" s="91">
        <f t="shared" si="26"/>
        <v>0</v>
      </c>
      <c r="Q44" s="91">
        <f t="shared" si="26"/>
        <v>0</v>
      </c>
      <c r="R44" s="91">
        <f t="shared" si="26"/>
        <v>0</v>
      </c>
      <c r="S44" s="91">
        <f t="shared" si="26"/>
        <v>0</v>
      </c>
      <c r="T44" s="91">
        <f t="shared" si="26"/>
        <v>0</v>
      </c>
      <c r="U44" s="91">
        <f t="shared" si="26"/>
        <v>0</v>
      </c>
      <c r="V44" s="91">
        <f t="shared" si="26"/>
        <v>0</v>
      </c>
      <c r="W44" s="91">
        <f t="shared" si="26"/>
        <v>0</v>
      </c>
      <c r="X44" s="91">
        <f t="shared" si="26"/>
        <v>0</v>
      </c>
      <c r="Y44" s="91">
        <f t="shared" si="26"/>
        <v>0</v>
      </c>
      <c r="Z44" s="91">
        <f t="shared" si="26"/>
        <v>0</v>
      </c>
      <c r="AA44" s="91">
        <f t="shared" si="26"/>
        <v>0</v>
      </c>
      <c r="AB44" s="91">
        <f t="shared" si="26"/>
        <v>0</v>
      </c>
      <c r="AC44" s="91">
        <f t="shared" si="26"/>
        <v>0</v>
      </c>
      <c r="AD44" s="91">
        <f t="shared" si="26"/>
        <v>0</v>
      </c>
      <c r="AE44" s="91">
        <f t="shared" si="26"/>
        <v>0</v>
      </c>
      <c r="AF44" s="91">
        <f t="shared" si="26"/>
        <v>0</v>
      </c>
      <c r="AG44" s="91">
        <f t="shared" si="26"/>
        <v>0</v>
      </c>
      <c r="AH44" s="91">
        <f t="shared" si="26"/>
        <v>0</v>
      </c>
      <c r="AI44" s="92">
        <f t="shared" si="14"/>
        <v>0</v>
      </c>
      <c r="AK44" s="62"/>
      <c r="AL44" s="54"/>
    </row>
    <row r="45" spans="2:43" ht="15.75" thickBot="1">
      <c r="B45" s="15"/>
      <c r="C45" s="661">
        <f t="shared" si="9"/>
        <v>12</v>
      </c>
      <c r="D45" s="648">
        <f t="shared" si="10"/>
        <v>0</v>
      </c>
      <c r="E45" s="648">
        <f t="shared" si="11"/>
        <v>0</v>
      </c>
      <c r="F45" s="648">
        <f t="shared" si="12"/>
        <v>0</v>
      </c>
      <c r="G45" s="645">
        <f t="shared" si="15"/>
        <v>0</v>
      </c>
      <c r="H45" s="645"/>
      <c r="I45" s="94"/>
      <c r="J45" s="91">
        <f t="shared" ref="J45:AH45" si="27">IF($G21&gt;=25,$G45,IF(J$33&lt;=$G21,$G45,IF(J$33&lt;=($G21*($Z21+1)),$G45,0)))-IF($G21="",0,IF(J$33-1&lt;=($G21*$Z21),$F45,0))*IF(OR($AA21=0,$AA21&gt;25),0,IF(MOD(J$33,$G21)=0,1,0))</f>
        <v>0</v>
      </c>
      <c r="K45" s="91">
        <f t="shared" si="27"/>
        <v>0</v>
      </c>
      <c r="L45" s="91">
        <f t="shared" si="27"/>
        <v>0</v>
      </c>
      <c r="M45" s="91">
        <f t="shared" si="27"/>
        <v>0</v>
      </c>
      <c r="N45" s="91">
        <f t="shared" si="27"/>
        <v>0</v>
      </c>
      <c r="O45" s="91">
        <f t="shared" si="27"/>
        <v>0</v>
      </c>
      <c r="P45" s="91">
        <f t="shared" si="27"/>
        <v>0</v>
      </c>
      <c r="Q45" s="91">
        <f t="shared" si="27"/>
        <v>0</v>
      </c>
      <c r="R45" s="91">
        <f t="shared" si="27"/>
        <v>0</v>
      </c>
      <c r="S45" s="91">
        <f t="shared" si="27"/>
        <v>0</v>
      </c>
      <c r="T45" s="91">
        <f t="shared" si="27"/>
        <v>0</v>
      </c>
      <c r="U45" s="91">
        <f t="shared" si="27"/>
        <v>0</v>
      </c>
      <c r="V45" s="91">
        <f t="shared" si="27"/>
        <v>0</v>
      </c>
      <c r="W45" s="91">
        <f t="shared" si="27"/>
        <v>0</v>
      </c>
      <c r="X45" s="91">
        <f t="shared" si="27"/>
        <v>0</v>
      </c>
      <c r="Y45" s="91">
        <f t="shared" si="27"/>
        <v>0</v>
      </c>
      <c r="Z45" s="91">
        <f t="shared" si="27"/>
        <v>0</v>
      </c>
      <c r="AA45" s="91">
        <f t="shared" si="27"/>
        <v>0</v>
      </c>
      <c r="AB45" s="91">
        <f t="shared" si="27"/>
        <v>0</v>
      </c>
      <c r="AC45" s="91">
        <f t="shared" si="27"/>
        <v>0</v>
      </c>
      <c r="AD45" s="91">
        <f t="shared" si="27"/>
        <v>0</v>
      </c>
      <c r="AE45" s="91">
        <f t="shared" si="27"/>
        <v>0</v>
      </c>
      <c r="AF45" s="91">
        <f t="shared" si="27"/>
        <v>0</v>
      </c>
      <c r="AG45" s="91">
        <f t="shared" si="27"/>
        <v>0</v>
      </c>
      <c r="AH45" s="91">
        <f t="shared" si="27"/>
        <v>0</v>
      </c>
      <c r="AI45" s="92">
        <f t="shared" si="14"/>
        <v>0</v>
      </c>
      <c r="AK45" s="62"/>
      <c r="AL45" s="54"/>
    </row>
    <row r="46" spans="2:43" ht="15.75" thickBot="1">
      <c r="B46" s="15"/>
      <c r="C46" s="660">
        <f t="shared" si="9"/>
        <v>13</v>
      </c>
      <c r="D46" s="643">
        <f t="shared" si="10"/>
        <v>0</v>
      </c>
      <c r="E46" s="643">
        <f t="shared" si="11"/>
        <v>0</v>
      </c>
      <c r="F46" s="643">
        <f t="shared" si="12"/>
        <v>0</v>
      </c>
      <c r="G46" s="643">
        <f t="shared" si="15"/>
        <v>0</v>
      </c>
      <c r="H46" s="643"/>
      <c r="I46" s="642"/>
      <c r="J46" s="91">
        <f t="shared" ref="J46:AH46" si="28">IF($G22&gt;=25,$G46,IF(J$33&lt;=$G22,$G46,IF(J$33&lt;=($G22*($Z22+1)),$G46,0)))-IF($G22="",0,IF(J$33-1&lt;=($G22*$Z22),$F46,0))*IF(OR($AA22=0,$AA22&gt;25),0,IF(MOD(J$33,$G22)=0,1,0))</f>
        <v>0</v>
      </c>
      <c r="K46" s="91">
        <f t="shared" si="28"/>
        <v>0</v>
      </c>
      <c r="L46" s="91">
        <f t="shared" si="28"/>
        <v>0</v>
      </c>
      <c r="M46" s="91">
        <f t="shared" si="28"/>
        <v>0</v>
      </c>
      <c r="N46" s="91">
        <f t="shared" si="28"/>
        <v>0</v>
      </c>
      <c r="O46" s="91">
        <f t="shared" si="28"/>
        <v>0</v>
      </c>
      <c r="P46" s="91">
        <f t="shared" si="28"/>
        <v>0</v>
      </c>
      <c r="Q46" s="91">
        <f t="shared" si="28"/>
        <v>0</v>
      </c>
      <c r="R46" s="91">
        <f t="shared" si="28"/>
        <v>0</v>
      </c>
      <c r="S46" s="91">
        <f t="shared" si="28"/>
        <v>0</v>
      </c>
      <c r="T46" s="91">
        <f t="shared" si="28"/>
        <v>0</v>
      </c>
      <c r="U46" s="91">
        <f t="shared" si="28"/>
        <v>0</v>
      </c>
      <c r="V46" s="91">
        <f t="shared" si="28"/>
        <v>0</v>
      </c>
      <c r="W46" s="91">
        <f t="shared" si="28"/>
        <v>0</v>
      </c>
      <c r="X46" s="91">
        <f t="shared" si="28"/>
        <v>0</v>
      </c>
      <c r="Y46" s="91">
        <f t="shared" si="28"/>
        <v>0</v>
      </c>
      <c r="Z46" s="91">
        <f t="shared" si="28"/>
        <v>0</v>
      </c>
      <c r="AA46" s="91">
        <f t="shared" si="28"/>
        <v>0</v>
      </c>
      <c r="AB46" s="91">
        <f t="shared" si="28"/>
        <v>0</v>
      </c>
      <c r="AC46" s="91">
        <f t="shared" si="28"/>
        <v>0</v>
      </c>
      <c r="AD46" s="91">
        <f t="shared" si="28"/>
        <v>0</v>
      </c>
      <c r="AE46" s="91">
        <f t="shared" si="28"/>
        <v>0</v>
      </c>
      <c r="AF46" s="91">
        <f t="shared" si="28"/>
        <v>0</v>
      </c>
      <c r="AG46" s="91">
        <f t="shared" si="28"/>
        <v>0</v>
      </c>
      <c r="AH46" s="91">
        <f t="shared" si="28"/>
        <v>0</v>
      </c>
      <c r="AI46" s="92">
        <f t="shared" si="14"/>
        <v>0</v>
      </c>
      <c r="AK46" s="62"/>
      <c r="AL46" s="54"/>
    </row>
    <row r="47" spans="2:43" ht="15.75" thickBot="1">
      <c r="B47" s="15"/>
      <c r="C47" s="661">
        <f t="shared" si="9"/>
        <v>14</v>
      </c>
      <c r="D47" s="648">
        <f t="shared" si="10"/>
        <v>0</v>
      </c>
      <c r="E47" s="648">
        <f t="shared" si="11"/>
        <v>0</v>
      </c>
      <c r="F47" s="648">
        <f t="shared" si="12"/>
        <v>0</v>
      </c>
      <c r="G47" s="645">
        <f t="shared" si="15"/>
        <v>0</v>
      </c>
      <c r="H47" s="645"/>
      <c r="I47" s="94"/>
      <c r="J47" s="91">
        <f t="shared" ref="J47:AH47" si="29">IF($G23&gt;=25,$G47,IF(J$33&lt;=$G23,$G47,IF(J$33&lt;=($G23*($Z23+1)),$G47,0)))-IF($G23="",0,IF(J$33-1&lt;=($G23*$Z23),$F47,0))*IF(OR($AA23=0,$AA23&gt;25),0,IF(MOD(J$33,$G23)=0,1,0))</f>
        <v>0</v>
      </c>
      <c r="K47" s="91">
        <f t="shared" si="29"/>
        <v>0</v>
      </c>
      <c r="L47" s="91">
        <f t="shared" si="29"/>
        <v>0</v>
      </c>
      <c r="M47" s="91">
        <f t="shared" si="29"/>
        <v>0</v>
      </c>
      <c r="N47" s="91">
        <f t="shared" si="29"/>
        <v>0</v>
      </c>
      <c r="O47" s="91">
        <f t="shared" si="29"/>
        <v>0</v>
      </c>
      <c r="P47" s="91">
        <f t="shared" si="29"/>
        <v>0</v>
      </c>
      <c r="Q47" s="91">
        <f t="shared" si="29"/>
        <v>0</v>
      </c>
      <c r="R47" s="91">
        <f t="shared" si="29"/>
        <v>0</v>
      </c>
      <c r="S47" s="91">
        <f t="shared" si="29"/>
        <v>0</v>
      </c>
      <c r="T47" s="91">
        <f t="shared" si="29"/>
        <v>0</v>
      </c>
      <c r="U47" s="91">
        <f t="shared" si="29"/>
        <v>0</v>
      </c>
      <c r="V47" s="91">
        <f t="shared" si="29"/>
        <v>0</v>
      </c>
      <c r="W47" s="91">
        <f t="shared" si="29"/>
        <v>0</v>
      </c>
      <c r="X47" s="91">
        <f t="shared" si="29"/>
        <v>0</v>
      </c>
      <c r="Y47" s="91">
        <f t="shared" si="29"/>
        <v>0</v>
      </c>
      <c r="Z47" s="91">
        <f t="shared" si="29"/>
        <v>0</v>
      </c>
      <c r="AA47" s="91">
        <f t="shared" si="29"/>
        <v>0</v>
      </c>
      <c r="AB47" s="91">
        <f t="shared" si="29"/>
        <v>0</v>
      </c>
      <c r="AC47" s="91">
        <f t="shared" si="29"/>
        <v>0</v>
      </c>
      <c r="AD47" s="91">
        <f t="shared" si="29"/>
        <v>0</v>
      </c>
      <c r="AE47" s="91">
        <f t="shared" si="29"/>
        <v>0</v>
      </c>
      <c r="AF47" s="91">
        <f t="shared" si="29"/>
        <v>0</v>
      </c>
      <c r="AG47" s="91">
        <f t="shared" si="29"/>
        <v>0</v>
      </c>
      <c r="AH47" s="91">
        <f t="shared" si="29"/>
        <v>0</v>
      </c>
      <c r="AI47" s="92">
        <f t="shared" si="14"/>
        <v>0</v>
      </c>
      <c r="AK47" s="62"/>
      <c r="AL47" s="54"/>
    </row>
    <row r="48" spans="2:43" ht="15.75" thickBot="1">
      <c r="B48" s="15"/>
      <c r="C48" s="660">
        <f t="shared" si="9"/>
        <v>15</v>
      </c>
      <c r="D48" s="643">
        <f t="shared" si="10"/>
        <v>0</v>
      </c>
      <c r="E48" s="643">
        <f t="shared" si="11"/>
        <v>0</v>
      </c>
      <c r="F48" s="643">
        <f t="shared" si="12"/>
        <v>0</v>
      </c>
      <c r="G48" s="643">
        <f t="shared" si="15"/>
        <v>0</v>
      </c>
      <c r="H48" s="643"/>
      <c r="I48" s="642"/>
      <c r="J48" s="91">
        <f t="shared" ref="J48:AH48" si="30">IF($G24&gt;=25,$G48,IF(J$33&lt;=$G24,$G48,IF(J$33&lt;=($G24*($Z24+1)),$G48,0)))-IF($G24="",0,IF(J$33-1&lt;=($G24*$Z24),$F48,0))*IF(OR($AA24=0,$AA24&gt;25),0,IF(MOD(J$33,$G24)=0,1,0))</f>
        <v>0</v>
      </c>
      <c r="K48" s="91">
        <f t="shared" si="30"/>
        <v>0</v>
      </c>
      <c r="L48" s="91">
        <f t="shared" si="30"/>
        <v>0</v>
      </c>
      <c r="M48" s="91">
        <f t="shared" si="30"/>
        <v>0</v>
      </c>
      <c r="N48" s="91">
        <f t="shared" si="30"/>
        <v>0</v>
      </c>
      <c r="O48" s="91">
        <f t="shared" si="30"/>
        <v>0</v>
      </c>
      <c r="P48" s="91">
        <f t="shared" si="30"/>
        <v>0</v>
      </c>
      <c r="Q48" s="91">
        <f t="shared" si="30"/>
        <v>0</v>
      </c>
      <c r="R48" s="91">
        <f t="shared" si="30"/>
        <v>0</v>
      </c>
      <c r="S48" s="91">
        <f t="shared" si="30"/>
        <v>0</v>
      </c>
      <c r="T48" s="91">
        <f t="shared" si="30"/>
        <v>0</v>
      </c>
      <c r="U48" s="91">
        <f t="shared" si="30"/>
        <v>0</v>
      </c>
      <c r="V48" s="91">
        <f t="shared" si="30"/>
        <v>0</v>
      </c>
      <c r="W48" s="91">
        <f t="shared" si="30"/>
        <v>0</v>
      </c>
      <c r="X48" s="91">
        <f t="shared" si="30"/>
        <v>0</v>
      </c>
      <c r="Y48" s="91">
        <f t="shared" si="30"/>
        <v>0</v>
      </c>
      <c r="Z48" s="91">
        <f t="shared" si="30"/>
        <v>0</v>
      </c>
      <c r="AA48" s="91">
        <f t="shared" si="30"/>
        <v>0</v>
      </c>
      <c r="AB48" s="91">
        <f t="shared" si="30"/>
        <v>0</v>
      </c>
      <c r="AC48" s="91">
        <f t="shared" si="30"/>
        <v>0</v>
      </c>
      <c r="AD48" s="91">
        <f t="shared" si="30"/>
        <v>0</v>
      </c>
      <c r="AE48" s="91">
        <f t="shared" si="30"/>
        <v>0</v>
      </c>
      <c r="AF48" s="91">
        <f t="shared" si="30"/>
        <v>0</v>
      </c>
      <c r="AG48" s="91">
        <f t="shared" si="30"/>
        <v>0</v>
      </c>
      <c r="AH48" s="91">
        <f t="shared" si="30"/>
        <v>0</v>
      </c>
      <c r="AI48" s="92">
        <f t="shared" si="14"/>
        <v>0</v>
      </c>
      <c r="AK48" s="62"/>
      <c r="AL48" s="54"/>
    </row>
    <row r="49" spans="2:38" ht="15.75" thickBot="1">
      <c r="B49" s="15"/>
      <c r="C49" s="89"/>
      <c r="D49" s="95"/>
      <c r="E49" s="95"/>
      <c r="F49" s="95"/>
      <c r="G49" s="93"/>
      <c r="H49" s="93"/>
      <c r="I49" s="96" t="s">
        <v>35</v>
      </c>
      <c r="J49" s="97">
        <f>SUM(J34:J48)</f>
        <v>0</v>
      </c>
      <c r="K49" s="97">
        <f t="shared" ref="K49:AI49" si="31">SUM(K34:K48)</f>
        <v>0</v>
      </c>
      <c r="L49" s="97">
        <f t="shared" si="31"/>
        <v>0</v>
      </c>
      <c r="M49" s="97">
        <f t="shared" si="31"/>
        <v>0</v>
      </c>
      <c r="N49" s="97">
        <f t="shared" si="31"/>
        <v>0</v>
      </c>
      <c r="O49" s="97">
        <f t="shared" si="31"/>
        <v>0</v>
      </c>
      <c r="P49" s="97">
        <f t="shared" si="31"/>
        <v>0</v>
      </c>
      <c r="Q49" s="97">
        <f t="shared" si="31"/>
        <v>0</v>
      </c>
      <c r="R49" s="97">
        <f t="shared" si="31"/>
        <v>0</v>
      </c>
      <c r="S49" s="97">
        <f t="shared" si="31"/>
        <v>0</v>
      </c>
      <c r="T49" s="97">
        <f t="shared" si="31"/>
        <v>0</v>
      </c>
      <c r="U49" s="97">
        <f t="shared" si="31"/>
        <v>0</v>
      </c>
      <c r="V49" s="97">
        <f t="shared" si="31"/>
        <v>0</v>
      </c>
      <c r="W49" s="97">
        <f t="shared" si="31"/>
        <v>0</v>
      </c>
      <c r="X49" s="97">
        <f t="shared" si="31"/>
        <v>0</v>
      </c>
      <c r="Y49" s="97">
        <f t="shared" si="31"/>
        <v>0</v>
      </c>
      <c r="Z49" s="97">
        <f t="shared" si="31"/>
        <v>0</v>
      </c>
      <c r="AA49" s="97">
        <f t="shared" si="31"/>
        <v>0</v>
      </c>
      <c r="AB49" s="97">
        <f t="shared" si="31"/>
        <v>0</v>
      </c>
      <c r="AC49" s="97">
        <f t="shared" si="31"/>
        <v>0</v>
      </c>
      <c r="AD49" s="97">
        <f t="shared" si="31"/>
        <v>0</v>
      </c>
      <c r="AE49" s="97">
        <f t="shared" si="31"/>
        <v>0</v>
      </c>
      <c r="AF49" s="97">
        <f t="shared" si="31"/>
        <v>0</v>
      </c>
      <c r="AG49" s="97">
        <f t="shared" si="31"/>
        <v>0</v>
      </c>
      <c r="AH49" s="97">
        <f t="shared" si="31"/>
        <v>0</v>
      </c>
      <c r="AI49" s="98">
        <f t="shared" si="31"/>
        <v>0</v>
      </c>
      <c r="AK49" s="62"/>
      <c r="AL49" s="54"/>
    </row>
    <row r="50" spans="2:38" ht="15.75" thickBot="1">
      <c r="B50" s="15"/>
      <c r="C50" s="89"/>
      <c r="D50" s="99"/>
      <c r="E50" s="99"/>
      <c r="F50" s="99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100"/>
      <c r="AK50" s="62"/>
      <c r="AL50" s="54"/>
    </row>
    <row r="51" spans="2:38" ht="28.5" customHeight="1" thickBot="1">
      <c r="B51" s="15"/>
      <c r="C51" s="87" t="s">
        <v>33</v>
      </c>
      <c r="D51" s="101" t="s">
        <v>91</v>
      </c>
      <c r="E51" s="101"/>
      <c r="F51" s="101"/>
      <c r="G51" s="641" t="s">
        <v>92</v>
      </c>
      <c r="H51" s="652"/>
      <c r="I51" s="652"/>
      <c r="J51" s="599">
        <v>1</v>
      </c>
      <c r="K51" s="599">
        <v>2</v>
      </c>
      <c r="L51" s="599">
        <v>3</v>
      </c>
      <c r="M51" s="599">
        <v>4</v>
      </c>
      <c r="N51" s="599">
        <v>5</v>
      </c>
      <c r="O51" s="599">
        <v>6</v>
      </c>
      <c r="P51" s="599">
        <v>7</v>
      </c>
      <c r="Q51" s="599">
        <v>8</v>
      </c>
      <c r="R51" s="599">
        <v>9</v>
      </c>
      <c r="S51" s="599">
        <v>10</v>
      </c>
      <c r="T51" s="599">
        <v>11</v>
      </c>
      <c r="U51" s="599">
        <v>12</v>
      </c>
      <c r="V51" s="599">
        <v>13</v>
      </c>
      <c r="W51" s="599">
        <v>14</v>
      </c>
      <c r="X51" s="599">
        <v>15</v>
      </c>
      <c r="Y51" s="599">
        <v>16</v>
      </c>
      <c r="Z51" s="599">
        <v>17</v>
      </c>
      <c r="AA51" s="599">
        <v>18</v>
      </c>
      <c r="AB51" s="599">
        <v>19</v>
      </c>
      <c r="AC51" s="599">
        <v>20</v>
      </c>
      <c r="AD51" s="599">
        <v>21</v>
      </c>
      <c r="AE51" s="599">
        <v>22</v>
      </c>
      <c r="AF51" s="599">
        <v>23</v>
      </c>
      <c r="AG51" s="599">
        <v>24</v>
      </c>
      <c r="AH51" s="599">
        <v>25</v>
      </c>
      <c r="AI51" s="600" t="s">
        <v>34</v>
      </c>
      <c r="AK51" s="62"/>
      <c r="AL51" s="54"/>
    </row>
    <row r="52" spans="2:38" ht="15.75" thickBot="1">
      <c r="B52" s="15"/>
      <c r="C52" s="656">
        <f>C34</f>
        <v>1</v>
      </c>
      <c r="D52" s="653">
        <f t="shared" ref="D52:D66" si="32">R10</f>
        <v>0</v>
      </c>
      <c r="E52" s="653"/>
      <c r="F52" s="653"/>
      <c r="G52" s="653">
        <f>IF(D52="","",D52-E52-F52)</f>
        <v>0</v>
      </c>
      <c r="H52" s="653"/>
      <c r="I52" s="654"/>
      <c r="J52" s="305">
        <f>IF($G10&gt;=25,$G52,IF(J$51&lt;=$G10,$G52,IF(J$51&lt;=($G10*($Z10+1)),$G52,0)))</f>
        <v>0</v>
      </c>
      <c r="K52" s="305">
        <f t="shared" ref="K52:AH52" si="33">IF($G10&gt;=25,$G52,IF(K$51&lt;=$G10,$G52,IF(K$51&lt;=($G10*($Z10+1)),$G52,0)))</f>
        <v>0</v>
      </c>
      <c r="L52" s="305">
        <f t="shared" si="33"/>
        <v>0</v>
      </c>
      <c r="M52" s="305">
        <f t="shared" si="33"/>
        <v>0</v>
      </c>
      <c r="N52" s="305">
        <f t="shared" si="33"/>
        <v>0</v>
      </c>
      <c r="O52" s="305">
        <f t="shared" si="33"/>
        <v>0</v>
      </c>
      <c r="P52" s="305">
        <f t="shared" si="33"/>
        <v>0</v>
      </c>
      <c r="Q52" s="305">
        <f t="shared" si="33"/>
        <v>0</v>
      </c>
      <c r="R52" s="305">
        <f t="shared" si="33"/>
        <v>0</v>
      </c>
      <c r="S52" s="305">
        <f t="shared" si="33"/>
        <v>0</v>
      </c>
      <c r="T52" s="305">
        <f t="shared" si="33"/>
        <v>0</v>
      </c>
      <c r="U52" s="305">
        <f t="shared" si="33"/>
        <v>0</v>
      </c>
      <c r="V52" s="305">
        <f t="shared" si="33"/>
        <v>0</v>
      </c>
      <c r="W52" s="305">
        <f t="shared" si="33"/>
        <v>0</v>
      </c>
      <c r="X52" s="305">
        <f t="shared" si="33"/>
        <v>0</v>
      </c>
      <c r="Y52" s="305">
        <f t="shared" si="33"/>
        <v>0</v>
      </c>
      <c r="Z52" s="305">
        <f t="shared" si="33"/>
        <v>0</v>
      </c>
      <c r="AA52" s="305">
        <f t="shared" si="33"/>
        <v>0</v>
      </c>
      <c r="AB52" s="305">
        <f t="shared" si="33"/>
        <v>0</v>
      </c>
      <c r="AC52" s="305">
        <f t="shared" si="33"/>
        <v>0</v>
      </c>
      <c r="AD52" s="305">
        <f t="shared" si="33"/>
        <v>0</v>
      </c>
      <c r="AE52" s="305">
        <f t="shared" si="33"/>
        <v>0</v>
      </c>
      <c r="AF52" s="305">
        <f t="shared" si="33"/>
        <v>0</v>
      </c>
      <c r="AG52" s="305">
        <f t="shared" si="33"/>
        <v>0</v>
      </c>
      <c r="AH52" s="305">
        <f t="shared" si="33"/>
        <v>0</v>
      </c>
      <c r="AI52" s="306">
        <f t="shared" ref="AI52:AI65" si="34">SUM(J52:AH52)</f>
        <v>0</v>
      </c>
      <c r="AK52" s="62"/>
      <c r="AL52" s="54"/>
    </row>
    <row r="53" spans="2:38" ht="15.75" thickBot="1">
      <c r="B53" s="15"/>
      <c r="C53" s="657">
        <f>C35</f>
        <v>2</v>
      </c>
      <c r="D53" s="649">
        <f t="shared" si="32"/>
        <v>0</v>
      </c>
      <c r="E53" s="650"/>
      <c r="F53" s="650"/>
      <c r="G53" s="649">
        <f t="shared" ref="G53:G66" si="35">IF(D53="","",D53-E53-F53)</f>
        <v>0</v>
      </c>
      <c r="H53" s="649"/>
      <c r="I53" s="651"/>
      <c r="J53" s="305">
        <f t="shared" ref="J53:AH53" si="36">IF($G11&gt;=25,$G53,IF(J$51&lt;=$G11,$G53,IF(J$51&lt;=($G11*($Z11+1)),$G53,0)))</f>
        <v>0</v>
      </c>
      <c r="K53" s="305">
        <f t="shared" si="36"/>
        <v>0</v>
      </c>
      <c r="L53" s="305">
        <f t="shared" si="36"/>
        <v>0</v>
      </c>
      <c r="M53" s="305">
        <f t="shared" si="36"/>
        <v>0</v>
      </c>
      <c r="N53" s="305">
        <f t="shared" si="36"/>
        <v>0</v>
      </c>
      <c r="O53" s="305">
        <f t="shared" si="36"/>
        <v>0</v>
      </c>
      <c r="P53" s="305">
        <f t="shared" si="36"/>
        <v>0</v>
      </c>
      <c r="Q53" s="305">
        <f t="shared" si="36"/>
        <v>0</v>
      </c>
      <c r="R53" s="305">
        <f t="shared" si="36"/>
        <v>0</v>
      </c>
      <c r="S53" s="305">
        <f t="shared" si="36"/>
        <v>0</v>
      </c>
      <c r="T53" s="305">
        <f t="shared" si="36"/>
        <v>0</v>
      </c>
      <c r="U53" s="305">
        <f t="shared" si="36"/>
        <v>0</v>
      </c>
      <c r="V53" s="305">
        <f t="shared" si="36"/>
        <v>0</v>
      </c>
      <c r="W53" s="305">
        <f t="shared" si="36"/>
        <v>0</v>
      </c>
      <c r="X53" s="305">
        <f t="shared" si="36"/>
        <v>0</v>
      </c>
      <c r="Y53" s="305">
        <f t="shared" si="36"/>
        <v>0</v>
      </c>
      <c r="Z53" s="305">
        <f t="shared" si="36"/>
        <v>0</v>
      </c>
      <c r="AA53" s="305">
        <f t="shared" si="36"/>
        <v>0</v>
      </c>
      <c r="AB53" s="305">
        <f t="shared" si="36"/>
        <v>0</v>
      </c>
      <c r="AC53" s="305">
        <f t="shared" si="36"/>
        <v>0</v>
      </c>
      <c r="AD53" s="305">
        <f t="shared" si="36"/>
        <v>0</v>
      </c>
      <c r="AE53" s="305">
        <f t="shared" si="36"/>
        <v>0</v>
      </c>
      <c r="AF53" s="305">
        <f t="shared" si="36"/>
        <v>0</v>
      </c>
      <c r="AG53" s="305">
        <f t="shared" si="36"/>
        <v>0</v>
      </c>
      <c r="AH53" s="305">
        <f t="shared" si="36"/>
        <v>0</v>
      </c>
      <c r="AI53" s="306">
        <f t="shared" si="34"/>
        <v>0</v>
      </c>
      <c r="AK53" s="62"/>
      <c r="AL53" s="54"/>
    </row>
    <row r="54" spans="2:38" ht="15.75" thickBot="1">
      <c r="B54" s="15"/>
      <c r="C54" s="656">
        <f>C36</f>
        <v>3</v>
      </c>
      <c r="D54" s="653">
        <f t="shared" si="32"/>
        <v>0</v>
      </c>
      <c r="E54" s="653"/>
      <c r="F54" s="653"/>
      <c r="G54" s="653">
        <f t="shared" si="35"/>
        <v>0</v>
      </c>
      <c r="H54" s="653"/>
      <c r="I54" s="654"/>
      <c r="J54" s="305">
        <f t="shared" ref="J54:AH54" si="37">IF($G12&gt;=25,$G54,IF(J$51&lt;=$G12,$G54,IF(J$51&lt;=($G12*($Z12+1)),$G54,0)))</f>
        <v>0</v>
      </c>
      <c r="K54" s="305">
        <f t="shared" si="37"/>
        <v>0</v>
      </c>
      <c r="L54" s="305">
        <f t="shared" si="37"/>
        <v>0</v>
      </c>
      <c r="M54" s="305">
        <f t="shared" si="37"/>
        <v>0</v>
      </c>
      <c r="N54" s="305">
        <f t="shared" si="37"/>
        <v>0</v>
      </c>
      <c r="O54" s="305">
        <f t="shared" si="37"/>
        <v>0</v>
      </c>
      <c r="P54" s="305">
        <f t="shared" si="37"/>
        <v>0</v>
      </c>
      <c r="Q54" s="305">
        <f t="shared" si="37"/>
        <v>0</v>
      </c>
      <c r="R54" s="305">
        <f t="shared" si="37"/>
        <v>0</v>
      </c>
      <c r="S54" s="305">
        <f t="shared" si="37"/>
        <v>0</v>
      </c>
      <c r="T54" s="305">
        <f t="shared" si="37"/>
        <v>0</v>
      </c>
      <c r="U54" s="305">
        <f t="shared" si="37"/>
        <v>0</v>
      </c>
      <c r="V54" s="305">
        <f t="shared" si="37"/>
        <v>0</v>
      </c>
      <c r="W54" s="305">
        <f t="shared" si="37"/>
        <v>0</v>
      </c>
      <c r="X54" s="305">
        <f t="shared" si="37"/>
        <v>0</v>
      </c>
      <c r="Y54" s="305">
        <f t="shared" si="37"/>
        <v>0</v>
      </c>
      <c r="Z54" s="305">
        <f t="shared" si="37"/>
        <v>0</v>
      </c>
      <c r="AA54" s="305">
        <f t="shared" si="37"/>
        <v>0</v>
      </c>
      <c r="AB54" s="305">
        <f t="shared" si="37"/>
        <v>0</v>
      </c>
      <c r="AC54" s="305">
        <f t="shared" si="37"/>
        <v>0</v>
      </c>
      <c r="AD54" s="305">
        <f t="shared" si="37"/>
        <v>0</v>
      </c>
      <c r="AE54" s="305">
        <f t="shared" si="37"/>
        <v>0</v>
      </c>
      <c r="AF54" s="305">
        <f t="shared" si="37"/>
        <v>0</v>
      </c>
      <c r="AG54" s="305">
        <f t="shared" si="37"/>
        <v>0</v>
      </c>
      <c r="AH54" s="305">
        <f t="shared" si="37"/>
        <v>0</v>
      </c>
      <c r="AI54" s="306">
        <f t="shared" si="34"/>
        <v>0</v>
      </c>
      <c r="AK54" s="62"/>
      <c r="AL54" s="54"/>
    </row>
    <row r="55" spans="2:38" ht="15.75" thickBot="1">
      <c r="B55" s="15"/>
      <c r="C55" s="657">
        <f>C37</f>
        <v>4</v>
      </c>
      <c r="D55" s="649">
        <f t="shared" si="32"/>
        <v>0</v>
      </c>
      <c r="E55" s="650"/>
      <c r="F55" s="650"/>
      <c r="G55" s="649">
        <f t="shared" si="35"/>
        <v>0</v>
      </c>
      <c r="H55" s="649"/>
      <c r="I55" s="651"/>
      <c r="J55" s="305">
        <f t="shared" ref="J55:AH55" si="38">IF($G13&gt;=25,$G55,IF(J$51&lt;=$G13,$G55,IF(J$51&lt;=($G13*($Z13+1)),$G55,0)))</f>
        <v>0</v>
      </c>
      <c r="K55" s="305">
        <f t="shared" si="38"/>
        <v>0</v>
      </c>
      <c r="L55" s="305">
        <f t="shared" si="38"/>
        <v>0</v>
      </c>
      <c r="M55" s="305">
        <f t="shared" si="38"/>
        <v>0</v>
      </c>
      <c r="N55" s="305">
        <f t="shared" si="38"/>
        <v>0</v>
      </c>
      <c r="O55" s="305">
        <f t="shared" si="38"/>
        <v>0</v>
      </c>
      <c r="P55" s="305">
        <f t="shared" si="38"/>
        <v>0</v>
      </c>
      <c r="Q55" s="305">
        <f t="shared" si="38"/>
        <v>0</v>
      </c>
      <c r="R55" s="305">
        <f t="shared" si="38"/>
        <v>0</v>
      </c>
      <c r="S55" s="305">
        <f t="shared" si="38"/>
        <v>0</v>
      </c>
      <c r="T55" s="305">
        <f t="shared" si="38"/>
        <v>0</v>
      </c>
      <c r="U55" s="305">
        <f t="shared" si="38"/>
        <v>0</v>
      </c>
      <c r="V55" s="305">
        <f t="shared" si="38"/>
        <v>0</v>
      </c>
      <c r="W55" s="305">
        <f t="shared" si="38"/>
        <v>0</v>
      </c>
      <c r="X55" s="305">
        <f t="shared" si="38"/>
        <v>0</v>
      </c>
      <c r="Y55" s="305">
        <f t="shared" si="38"/>
        <v>0</v>
      </c>
      <c r="Z55" s="305">
        <f t="shared" si="38"/>
        <v>0</v>
      </c>
      <c r="AA55" s="305">
        <f t="shared" si="38"/>
        <v>0</v>
      </c>
      <c r="AB55" s="305">
        <f t="shared" si="38"/>
        <v>0</v>
      </c>
      <c r="AC55" s="305">
        <f t="shared" si="38"/>
        <v>0</v>
      </c>
      <c r="AD55" s="305">
        <f t="shared" si="38"/>
        <v>0</v>
      </c>
      <c r="AE55" s="305">
        <f t="shared" si="38"/>
        <v>0</v>
      </c>
      <c r="AF55" s="305">
        <f t="shared" si="38"/>
        <v>0</v>
      </c>
      <c r="AG55" s="305">
        <f t="shared" si="38"/>
        <v>0</v>
      </c>
      <c r="AH55" s="305">
        <f t="shared" si="38"/>
        <v>0</v>
      </c>
      <c r="AI55" s="306">
        <f t="shared" si="34"/>
        <v>0</v>
      </c>
      <c r="AK55" s="62"/>
      <c r="AL55" s="54"/>
    </row>
    <row r="56" spans="2:38" ht="15.75" thickBot="1">
      <c r="B56" s="15"/>
      <c r="C56" s="656">
        <f t="shared" ref="C56:C60" si="39">C38</f>
        <v>5</v>
      </c>
      <c r="D56" s="653">
        <f t="shared" si="32"/>
        <v>0</v>
      </c>
      <c r="E56" s="653"/>
      <c r="F56" s="653"/>
      <c r="G56" s="653">
        <f t="shared" ref="G56:G60" si="40">IF(D56="","",D56-E56-F56)</f>
        <v>0</v>
      </c>
      <c r="H56" s="653"/>
      <c r="I56" s="654"/>
      <c r="J56" s="305">
        <f t="shared" ref="J56:AH56" si="41">IF($G14&gt;=25,$G56,IF(J$51&lt;=$G14,$G56,IF(J$51&lt;=($G14*($Z14+1)),$G56,0)))</f>
        <v>0</v>
      </c>
      <c r="K56" s="305">
        <f t="shared" si="41"/>
        <v>0</v>
      </c>
      <c r="L56" s="305">
        <f t="shared" si="41"/>
        <v>0</v>
      </c>
      <c r="M56" s="305">
        <f t="shared" si="41"/>
        <v>0</v>
      </c>
      <c r="N56" s="305">
        <f t="shared" si="41"/>
        <v>0</v>
      </c>
      <c r="O56" s="305">
        <f t="shared" si="41"/>
        <v>0</v>
      </c>
      <c r="P56" s="305">
        <f t="shared" si="41"/>
        <v>0</v>
      </c>
      <c r="Q56" s="305">
        <f t="shared" si="41"/>
        <v>0</v>
      </c>
      <c r="R56" s="305">
        <f t="shared" si="41"/>
        <v>0</v>
      </c>
      <c r="S56" s="305">
        <f t="shared" si="41"/>
        <v>0</v>
      </c>
      <c r="T56" s="305">
        <f t="shared" si="41"/>
        <v>0</v>
      </c>
      <c r="U56" s="305">
        <f t="shared" si="41"/>
        <v>0</v>
      </c>
      <c r="V56" s="305">
        <f t="shared" si="41"/>
        <v>0</v>
      </c>
      <c r="W56" s="305">
        <f t="shared" si="41"/>
        <v>0</v>
      </c>
      <c r="X56" s="305">
        <f t="shared" si="41"/>
        <v>0</v>
      </c>
      <c r="Y56" s="305">
        <f t="shared" si="41"/>
        <v>0</v>
      </c>
      <c r="Z56" s="305">
        <f t="shared" si="41"/>
        <v>0</v>
      </c>
      <c r="AA56" s="305">
        <f t="shared" si="41"/>
        <v>0</v>
      </c>
      <c r="AB56" s="305">
        <f t="shared" si="41"/>
        <v>0</v>
      </c>
      <c r="AC56" s="305">
        <f t="shared" si="41"/>
        <v>0</v>
      </c>
      <c r="AD56" s="305">
        <f t="shared" si="41"/>
        <v>0</v>
      </c>
      <c r="AE56" s="305">
        <f t="shared" si="41"/>
        <v>0</v>
      </c>
      <c r="AF56" s="305">
        <f t="shared" si="41"/>
        <v>0</v>
      </c>
      <c r="AG56" s="305">
        <f t="shared" si="41"/>
        <v>0</v>
      </c>
      <c r="AH56" s="305">
        <f t="shared" si="41"/>
        <v>0</v>
      </c>
      <c r="AI56" s="306">
        <f t="shared" si="34"/>
        <v>0</v>
      </c>
      <c r="AK56" s="62"/>
      <c r="AL56" s="54"/>
    </row>
    <row r="57" spans="2:38" ht="15.75" thickBot="1">
      <c r="B57" s="15"/>
      <c r="C57" s="657">
        <f t="shared" si="39"/>
        <v>6</v>
      </c>
      <c r="D57" s="649">
        <f t="shared" si="32"/>
        <v>0</v>
      </c>
      <c r="E57" s="650"/>
      <c r="F57" s="650"/>
      <c r="G57" s="649">
        <f t="shared" si="40"/>
        <v>0</v>
      </c>
      <c r="H57" s="649"/>
      <c r="I57" s="651"/>
      <c r="J57" s="305">
        <f t="shared" ref="J57:AH57" si="42">IF($G15&gt;=25,$G57,IF(J$51&lt;=$G15,$G57,IF(J$51&lt;=($G15*($Z15+1)),$G57,0)))</f>
        <v>0</v>
      </c>
      <c r="K57" s="305">
        <f t="shared" si="42"/>
        <v>0</v>
      </c>
      <c r="L57" s="305">
        <f t="shared" si="42"/>
        <v>0</v>
      </c>
      <c r="M57" s="305">
        <f t="shared" si="42"/>
        <v>0</v>
      </c>
      <c r="N57" s="305">
        <f t="shared" si="42"/>
        <v>0</v>
      </c>
      <c r="O57" s="305">
        <f t="shared" si="42"/>
        <v>0</v>
      </c>
      <c r="P57" s="305">
        <f t="shared" si="42"/>
        <v>0</v>
      </c>
      <c r="Q57" s="305">
        <f t="shared" si="42"/>
        <v>0</v>
      </c>
      <c r="R57" s="305">
        <f t="shared" si="42"/>
        <v>0</v>
      </c>
      <c r="S57" s="305">
        <f t="shared" si="42"/>
        <v>0</v>
      </c>
      <c r="T57" s="305">
        <f t="shared" si="42"/>
        <v>0</v>
      </c>
      <c r="U57" s="305">
        <f t="shared" si="42"/>
        <v>0</v>
      </c>
      <c r="V57" s="305">
        <f t="shared" si="42"/>
        <v>0</v>
      </c>
      <c r="W57" s="305">
        <f t="shared" si="42"/>
        <v>0</v>
      </c>
      <c r="X57" s="305">
        <f t="shared" si="42"/>
        <v>0</v>
      </c>
      <c r="Y57" s="305">
        <f t="shared" si="42"/>
        <v>0</v>
      </c>
      <c r="Z57" s="305">
        <f t="shared" si="42"/>
        <v>0</v>
      </c>
      <c r="AA57" s="305">
        <f t="shared" si="42"/>
        <v>0</v>
      </c>
      <c r="AB57" s="305">
        <f t="shared" si="42"/>
        <v>0</v>
      </c>
      <c r="AC57" s="305">
        <f t="shared" si="42"/>
        <v>0</v>
      </c>
      <c r="AD57" s="305">
        <f t="shared" si="42"/>
        <v>0</v>
      </c>
      <c r="AE57" s="305">
        <f t="shared" si="42"/>
        <v>0</v>
      </c>
      <c r="AF57" s="305">
        <f t="shared" si="42"/>
        <v>0</v>
      </c>
      <c r="AG57" s="305">
        <f t="shared" si="42"/>
        <v>0</v>
      </c>
      <c r="AH57" s="305">
        <f t="shared" si="42"/>
        <v>0</v>
      </c>
      <c r="AI57" s="306">
        <f t="shared" si="34"/>
        <v>0</v>
      </c>
      <c r="AK57" s="62"/>
      <c r="AL57" s="54"/>
    </row>
    <row r="58" spans="2:38" ht="15.75" thickBot="1">
      <c r="B58" s="15"/>
      <c r="C58" s="656">
        <f t="shared" si="39"/>
        <v>7</v>
      </c>
      <c r="D58" s="653">
        <f t="shared" si="32"/>
        <v>0</v>
      </c>
      <c r="E58" s="653"/>
      <c r="F58" s="653"/>
      <c r="G58" s="653">
        <f t="shared" si="40"/>
        <v>0</v>
      </c>
      <c r="H58" s="653"/>
      <c r="I58" s="654"/>
      <c r="J58" s="305">
        <f t="shared" ref="J58:AH58" si="43">IF($G16&gt;=25,$G58,IF(J$51&lt;=$G16,$G58,IF(J$51&lt;=($G16*($Z16+1)),$G58,0)))</f>
        <v>0</v>
      </c>
      <c r="K58" s="305">
        <f t="shared" si="43"/>
        <v>0</v>
      </c>
      <c r="L58" s="305">
        <f t="shared" si="43"/>
        <v>0</v>
      </c>
      <c r="M58" s="305">
        <f t="shared" si="43"/>
        <v>0</v>
      </c>
      <c r="N58" s="305">
        <f t="shared" si="43"/>
        <v>0</v>
      </c>
      <c r="O58" s="305">
        <f t="shared" si="43"/>
        <v>0</v>
      </c>
      <c r="P58" s="305">
        <f t="shared" si="43"/>
        <v>0</v>
      </c>
      <c r="Q58" s="305">
        <f t="shared" si="43"/>
        <v>0</v>
      </c>
      <c r="R58" s="305">
        <f t="shared" si="43"/>
        <v>0</v>
      </c>
      <c r="S58" s="305">
        <f t="shared" si="43"/>
        <v>0</v>
      </c>
      <c r="T58" s="305">
        <f t="shared" si="43"/>
        <v>0</v>
      </c>
      <c r="U58" s="305">
        <f t="shared" si="43"/>
        <v>0</v>
      </c>
      <c r="V58" s="305">
        <f t="shared" si="43"/>
        <v>0</v>
      </c>
      <c r="W58" s="305">
        <f t="shared" si="43"/>
        <v>0</v>
      </c>
      <c r="X58" s="305">
        <f t="shared" si="43"/>
        <v>0</v>
      </c>
      <c r="Y58" s="305">
        <f t="shared" si="43"/>
        <v>0</v>
      </c>
      <c r="Z58" s="305">
        <f t="shared" si="43"/>
        <v>0</v>
      </c>
      <c r="AA58" s="305">
        <f t="shared" si="43"/>
        <v>0</v>
      </c>
      <c r="AB58" s="305">
        <f t="shared" si="43"/>
        <v>0</v>
      </c>
      <c r="AC58" s="305">
        <f t="shared" si="43"/>
        <v>0</v>
      </c>
      <c r="AD58" s="305">
        <f t="shared" si="43"/>
        <v>0</v>
      </c>
      <c r="AE58" s="305">
        <f t="shared" si="43"/>
        <v>0</v>
      </c>
      <c r="AF58" s="305">
        <f t="shared" si="43"/>
        <v>0</v>
      </c>
      <c r="AG58" s="305">
        <f t="shared" si="43"/>
        <v>0</v>
      </c>
      <c r="AH58" s="305">
        <f t="shared" si="43"/>
        <v>0</v>
      </c>
      <c r="AI58" s="306">
        <f t="shared" si="34"/>
        <v>0</v>
      </c>
      <c r="AK58" s="62"/>
      <c r="AL58" s="54"/>
    </row>
    <row r="59" spans="2:38" ht="15.75" thickBot="1">
      <c r="B59" s="15"/>
      <c r="C59" s="657">
        <f t="shared" si="39"/>
        <v>8</v>
      </c>
      <c r="D59" s="649">
        <f t="shared" si="32"/>
        <v>0</v>
      </c>
      <c r="E59" s="650"/>
      <c r="F59" s="650"/>
      <c r="G59" s="649">
        <f t="shared" si="40"/>
        <v>0</v>
      </c>
      <c r="H59" s="649"/>
      <c r="I59" s="651"/>
      <c r="J59" s="305">
        <f t="shared" ref="J59:AH59" si="44">IF($G17&gt;=25,$G59,IF(J$51&lt;=$G17,$G59,IF(J$51&lt;=($G17*($Z17+1)),$G59,0)))</f>
        <v>0</v>
      </c>
      <c r="K59" s="305">
        <f t="shared" si="44"/>
        <v>0</v>
      </c>
      <c r="L59" s="305">
        <f t="shared" si="44"/>
        <v>0</v>
      </c>
      <c r="M59" s="305">
        <f t="shared" si="44"/>
        <v>0</v>
      </c>
      <c r="N59" s="305">
        <f t="shared" si="44"/>
        <v>0</v>
      </c>
      <c r="O59" s="305">
        <f t="shared" si="44"/>
        <v>0</v>
      </c>
      <c r="P59" s="305">
        <f t="shared" si="44"/>
        <v>0</v>
      </c>
      <c r="Q59" s="305">
        <f t="shared" si="44"/>
        <v>0</v>
      </c>
      <c r="R59" s="305">
        <f t="shared" si="44"/>
        <v>0</v>
      </c>
      <c r="S59" s="305">
        <f t="shared" si="44"/>
        <v>0</v>
      </c>
      <c r="T59" s="305">
        <f t="shared" si="44"/>
        <v>0</v>
      </c>
      <c r="U59" s="305">
        <f t="shared" si="44"/>
        <v>0</v>
      </c>
      <c r="V59" s="305">
        <f t="shared" si="44"/>
        <v>0</v>
      </c>
      <c r="W59" s="305">
        <f t="shared" si="44"/>
        <v>0</v>
      </c>
      <c r="X59" s="305">
        <f t="shared" si="44"/>
        <v>0</v>
      </c>
      <c r="Y59" s="305">
        <f t="shared" si="44"/>
        <v>0</v>
      </c>
      <c r="Z59" s="305">
        <f t="shared" si="44"/>
        <v>0</v>
      </c>
      <c r="AA59" s="305">
        <f t="shared" si="44"/>
        <v>0</v>
      </c>
      <c r="AB59" s="305">
        <f t="shared" si="44"/>
        <v>0</v>
      </c>
      <c r="AC59" s="305">
        <f t="shared" si="44"/>
        <v>0</v>
      </c>
      <c r="AD59" s="305">
        <f t="shared" si="44"/>
        <v>0</v>
      </c>
      <c r="AE59" s="305">
        <f t="shared" si="44"/>
        <v>0</v>
      </c>
      <c r="AF59" s="305">
        <f t="shared" si="44"/>
        <v>0</v>
      </c>
      <c r="AG59" s="305">
        <f t="shared" si="44"/>
        <v>0</v>
      </c>
      <c r="AH59" s="305">
        <f t="shared" si="44"/>
        <v>0</v>
      </c>
      <c r="AI59" s="306">
        <f t="shared" si="34"/>
        <v>0</v>
      </c>
      <c r="AK59" s="62"/>
      <c r="AL59" s="54"/>
    </row>
    <row r="60" spans="2:38" ht="15.75" thickBot="1">
      <c r="B60" s="15"/>
      <c r="C60" s="656">
        <f t="shared" si="39"/>
        <v>9</v>
      </c>
      <c r="D60" s="653">
        <f t="shared" si="32"/>
        <v>0</v>
      </c>
      <c r="E60" s="653"/>
      <c r="F60" s="653"/>
      <c r="G60" s="653">
        <f t="shared" si="40"/>
        <v>0</v>
      </c>
      <c r="H60" s="653"/>
      <c r="I60" s="654"/>
      <c r="J60" s="305">
        <f t="shared" ref="J60:AH60" si="45">IF($G18&gt;=25,$G60,IF(J$51&lt;=$G18,$G60,IF(J$51&lt;=($G18*($Z18+1)),$G60,0)))</f>
        <v>0</v>
      </c>
      <c r="K60" s="305">
        <f t="shared" si="45"/>
        <v>0</v>
      </c>
      <c r="L60" s="305">
        <f t="shared" si="45"/>
        <v>0</v>
      </c>
      <c r="M60" s="305">
        <f t="shared" si="45"/>
        <v>0</v>
      </c>
      <c r="N60" s="305">
        <f t="shared" si="45"/>
        <v>0</v>
      </c>
      <c r="O60" s="305">
        <f t="shared" si="45"/>
        <v>0</v>
      </c>
      <c r="P60" s="305">
        <f t="shared" si="45"/>
        <v>0</v>
      </c>
      <c r="Q60" s="305">
        <f t="shared" si="45"/>
        <v>0</v>
      </c>
      <c r="R60" s="305">
        <f t="shared" si="45"/>
        <v>0</v>
      </c>
      <c r="S60" s="305">
        <f t="shared" si="45"/>
        <v>0</v>
      </c>
      <c r="T60" s="305">
        <f t="shared" si="45"/>
        <v>0</v>
      </c>
      <c r="U60" s="305">
        <f t="shared" si="45"/>
        <v>0</v>
      </c>
      <c r="V60" s="305">
        <f t="shared" si="45"/>
        <v>0</v>
      </c>
      <c r="W60" s="305">
        <f t="shared" si="45"/>
        <v>0</v>
      </c>
      <c r="X60" s="305">
        <f t="shared" si="45"/>
        <v>0</v>
      </c>
      <c r="Y60" s="305">
        <f t="shared" si="45"/>
        <v>0</v>
      </c>
      <c r="Z60" s="305">
        <f t="shared" si="45"/>
        <v>0</v>
      </c>
      <c r="AA60" s="305">
        <f t="shared" si="45"/>
        <v>0</v>
      </c>
      <c r="AB60" s="305">
        <f t="shared" si="45"/>
        <v>0</v>
      </c>
      <c r="AC60" s="305">
        <f t="shared" si="45"/>
        <v>0</v>
      </c>
      <c r="AD60" s="305">
        <f t="shared" si="45"/>
        <v>0</v>
      </c>
      <c r="AE60" s="305">
        <f t="shared" si="45"/>
        <v>0</v>
      </c>
      <c r="AF60" s="305">
        <f t="shared" si="45"/>
        <v>0</v>
      </c>
      <c r="AG60" s="305">
        <f t="shared" si="45"/>
        <v>0</v>
      </c>
      <c r="AH60" s="305">
        <f t="shared" si="45"/>
        <v>0</v>
      </c>
      <c r="AI60" s="306">
        <f t="shared" si="34"/>
        <v>0</v>
      </c>
      <c r="AK60" s="62"/>
      <c r="AL60" s="54"/>
    </row>
    <row r="61" spans="2:38" ht="15.75" thickBot="1">
      <c r="B61" s="15"/>
      <c r="C61" s="658">
        <f t="shared" ref="C61:C66" si="46">C43</f>
        <v>10</v>
      </c>
      <c r="D61" s="649">
        <f t="shared" si="32"/>
        <v>0</v>
      </c>
      <c r="E61" s="650"/>
      <c r="F61" s="650"/>
      <c r="G61" s="649">
        <f t="shared" si="35"/>
        <v>0</v>
      </c>
      <c r="H61" s="649"/>
      <c r="I61" s="651"/>
      <c r="J61" s="305">
        <f t="shared" ref="J61:AH61" si="47">IF($G19&gt;=25,$G61,IF(J$51&lt;=$G19,$G61,IF(J$51&lt;=($G19*($Z19+1)),$G61,0)))</f>
        <v>0</v>
      </c>
      <c r="K61" s="305">
        <f t="shared" si="47"/>
        <v>0</v>
      </c>
      <c r="L61" s="305">
        <f t="shared" si="47"/>
        <v>0</v>
      </c>
      <c r="M61" s="305">
        <f t="shared" si="47"/>
        <v>0</v>
      </c>
      <c r="N61" s="305">
        <f t="shared" si="47"/>
        <v>0</v>
      </c>
      <c r="O61" s="305">
        <f t="shared" si="47"/>
        <v>0</v>
      </c>
      <c r="P61" s="305">
        <f t="shared" si="47"/>
        <v>0</v>
      </c>
      <c r="Q61" s="305">
        <f t="shared" si="47"/>
        <v>0</v>
      </c>
      <c r="R61" s="305">
        <f t="shared" si="47"/>
        <v>0</v>
      </c>
      <c r="S61" s="305">
        <f t="shared" si="47"/>
        <v>0</v>
      </c>
      <c r="T61" s="305">
        <f t="shared" si="47"/>
        <v>0</v>
      </c>
      <c r="U61" s="305">
        <f t="shared" si="47"/>
        <v>0</v>
      </c>
      <c r="V61" s="305">
        <f t="shared" si="47"/>
        <v>0</v>
      </c>
      <c r="W61" s="305">
        <f t="shared" si="47"/>
        <v>0</v>
      </c>
      <c r="X61" s="305">
        <f t="shared" si="47"/>
        <v>0</v>
      </c>
      <c r="Y61" s="305">
        <f t="shared" si="47"/>
        <v>0</v>
      </c>
      <c r="Z61" s="305">
        <f t="shared" si="47"/>
        <v>0</v>
      </c>
      <c r="AA61" s="305">
        <f t="shared" si="47"/>
        <v>0</v>
      </c>
      <c r="AB61" s="305">
        <f t="shared" si="47"/>
        <v>0</v>
      </c>
      <c r="AC61" s="305">
        <f t="shared" si="47"/>
        <v>0</v>
      </c>
      <c r="AD61" s="305">
        <f t="shared" si="47"/>
        <v>0</v>
      </c>
      <c r="AE61" s="305">
        <f t="shared" si="47"/>
        <v>0</v>
      </c>
      <c r="AF61" s="305">
        <f t="shared" si="47"/>
        <v>0</v>
      </c>
      <c r="AG61" s="305">
        <f t="shared" si="47"/>
        <v>0</v>
      </c>
      <c r="AH61" s="305">
        <f t="shared" si="47"/>
        <v>0</v>
      </c>
      <c r="AI61" s="306">
        <f t="shared" si="34"/>
        <v>0</v>
      </c>
      <c r="AK61" s="62"/>
      <c r="AL61" s="54"/>
    </row>
    <row r="62" spans="2:38" ht="15.75" thickBot="1">
      <c r="B62" s="15"/>
      <c r="C62" s="659">
        <f t="shared" si="46"/>
        <v>11</v>
      </c>
      <c r="D62" s="653">
        <f t="shared" si="32"/>
        <v>0</v>
      </c>
      <c r="E62" s="653"/>
      <c r="F62" s="653"/>
      <c r="G62" s="653">
        <f t="shared" si="35"/>
        <v>0</v>
      </c>
      <c r="H62" s="653"/>
      <c r="I62" s="655"/>
      <c r="J62" s="305">
        <f t="shared" ref="J62:AH62" si="48">IF($G20&gt;=25,$G62,IF(J$51&lt;=$G20,$G62,IF(J$51&lt;=($G20*($Z20+1)),$G62,0)))</f>
        <v>0</v>
      </c>
      <c r="K62" s="305">
        <f t="shared" si="48"/>
        <v>0</v>
      </c>
      <c r="L62" s="305">
        <f t="shared" si="48"/>
        <v>0</v>
      </c>
      <c r="M62" s="305">
        <f t="shared" si="48"/>
        <v>0</v>
      </c>
      <c r="N62" s="305">
        <f t="shared" si="48"/>
        <v>0</v>
      </c>
      <c r="O62" s="305">
        <f t="shared" si="48"/>
        <v>0</v>
      </c>
      <c r="P62" s="305">
        <f t="shared" si="48"/>
        <v>0</v>
      </c>
      <c r="Q62" s="305">
        <f t="shared" si="48"/>
        <v>0</v>
      </c>
      <c r="R62" s="305">
        <f t="shared" si="48"/>
        <v>0</v>
      </c>
      <c r="S62" s="305">
        <f t="shared" si="48"/>
        <v>0</v>
      </c>
      <c r="T62" s="305">
        <f t="shared" si="48"/>
        <v>0</v>
      </c>
      <c r="U62" s="305">
        <f t="shared" si="48"/>
        <v>0</v>
      </c>
      <c r="V62" s="305">
        <f t="shared" si="48"/>
        <v>0</v>
      </c>
      <c r="W62" s="305">
        <f t="shared" si="48"/>
        <v>0</v>
      </c>
      <c r="X62" s="305">
        <f t="shared" si="48"/>
        <v>0</v>
      </c>
      <c r="Y62" s="305">
        <f t="shared" si="48"/>
        <v>0</v>
      </c>
      <c r="Z62" s="305">
        <f t="shared" si="48"/>
        <v>0</v>
      </c>
      <c r="AA62" s="305">
        <f t="shared" si="48"/>
        <v>0</v>
      </c>
      <c r="AB62" s="305">
        <f t="shared" si="48"/>
        <v>0</v>
      </c>
      <c r="AC62" s="305">
        <f t="shared" si="48"/>
        <v>0</v>
      </c>
      <c r="AD62" s="305">
        <f t="shared" si="48"/>
        <v>0</v>
      </c>
      <c r="AE62" s="305">
        <f t="shared" si="48"/>
        <v>0</v>
      </c>
      <c r="AF62" s="305">
        <f t="shared" si="48"/>
        <v>0</v>
      </c>
      <c r="AG62" s="305">
        <f t="shared" si="48"/>
        <v>0</v>
      </c>
      <c r="AH62" s="305">
        <f t="shared" si="48"/>
        <v>0</v>
      </c>
      <c r="AI62" s="306">
        <f t="shared" si="34"/>
        <v>0</v>
      </c>
      <c r="AK62" s="62"/>
      <c r="AL62" s="54"/>
    </row>
    <row r="63" spans="2:38" ht="15.75" thickBot="1">
      <c r="B63" s="15"/>
      <c r="C63" s="658">
        <f t="shared" si="46"/>
        <v>12</v>
      </c>
      <c r="D63" s="649">
        <f t="shared" si="32"/>
        <v>0</v>
      </c>
      <c r="E63" s="649"/>
      <c r="F63" s="649"/>
      <c r="G63" s="649">
        <f t="shared" si="35"/>
        <v>0</v>
      </c>
      <c r="H63" s="649"/>
      <c r="I63" s="312"/>
      <c r="J63" s="305">
        <f t="shared" ref="J63:AH63" si="49">IF($G21&gt;=25,$G63,IF(J$51&lt;=$G21,$G63,IF(J$51&lt;=($G21*($Z21+1)),$G63,0)))</f>
        <v>0</v>
      </c>
      <c r="K63" s="305">
        <f t="shared" si="49"/>
        <v>0</v>
      </c>
      <c r="L63" s="305">
        <f t="shared" si="49"/>
        <v>0</v>
      </c>
      <c r="M63" s="305">
        <f t="shared" si="49"/>
        <v>0</v>
      </c>
      <c r="N63" s="305">
        <f t="shared" si="49"/>
        <v>0</v>
      </c>
      <c r="O63" s="305">
        <f t="shared" si="49"/>
        <v>0</v>
      </c>
      <c r="P63" s="305">
        <f t="shared" si="49"/>
        <v>0</v>
      </c>
      <c r="Q63" s="305">
        <f t="shared" si="49"/>
        <v>0</v>
      </c>
      <c r="R63" s="305">
        <f t="shared" si="49"/>
        <v>0</v>
      </c>
      <c r="S63" s="305">
        <f t="shared" si="49"/>
        <v>0</v>
      </c>
      <c r="T63" s="305">
        <f t="shared" si="49"/>
        <v>0</v>
      </c>
      <c r="U63" s="305">
        <f t="shared" si="49"/>
        <v>0</v>
      </c>
      <c r="V63" s="305">
        <f t="shared" si="49"/>
        <v>0</v>
      </c>
      <c r="W63" s="305">
        <f t="shared" si="49"/>
        <v>0</v>
      </c>
      <c r="X63" s="305">
        <f t="shared" si="49"/>
        <v>0</v>
      </c>
      <c r="Y63" s="305">
        <f t="shared" si="49"/>
        <v>0</v>
      </c>
      <c r="Z63" s="305">
        <f t="shared" si="49"/>
        <v>0</v>
      </c>
      <c r="AA63" s="305">
        <f t="shared" si="49"/>
        <v>0</v>
      </c>
      <c r="AB63" s="305">
        <f t="shared" si="49"/>
        <v>0</v>
      </c>
      <c r="AC63" s="305">
        <f t="shared" si="49"/>
        <v>0</v>
      </c>
      <c r="AD63" s="305">
        <f t="shared" si="49"/>
        <v>0</v>
      </c>
      <c r="AE63" s="305">
        <f t="shared" si="49"/>
        <v>0</v>
      </c>
      <c r="AF63" s="305">
        <f t="shared" si="49"/>
        <v>0</v>
      </c>
      <c r="AG63" s="305">
        <f t="shared" si="49"/>
        <v>0</v>
      </c>
      <c r="AH63" s="305">
        <f t="shared" si="49"/>
        <v>0</v>
      </c>
      <c r="AI63" s="306">
        <f t="shared" si="34"/>
        <v>0</v>
      </c>
      <c r="AK63" s="62"/>
      <c r="AL63" s="54"/>
    </row>
    <row r="64" spans="2:38" ht="15.75" thickBot="1">
      <c r="B64" s="15"/>
      <c r="C64" s="659">
        <f t="shared" si="46"/>
        <v>13</v>
      </c>
      <c r="D64" s="653">
        <f t="shared" si="32"/>
        <v>0</v>
      </c>
      <c r="E64" s="653"/>
      <c r="F64" s="653"/>
      <c r="G64" s="653">
        <f t="shared" si="35"/>
        <v>0</v>
      </c>
      <c r="H64" s="653"/>
      <c r="I64" s="655"/>
      <c r="J64" s="305">
        <f t="shared" ref="J64:AH64" si="50">IF($G22&gt;=25,$G64,IF(J$51&lt;=$G22,$G64,IF(J$51&lt;=($G22*($Z22+1)),$G64,0)))</f>
        <v>0</v>
      </c>
      <c r="K64" s="305">
        <f t="shared" si="50"/>
        <v>0</v>
      </c>
      <c r="L64" s="305">
        <f t="shared" si="50"/>
        <v>0</v>
      </c>
      <c r="M64" s="305">
        <f t="shared" si="50"/>
        <v>0</v>
      </c>
      <c r="N64" s="305">
        <f t="shared" si="50"/>
        <v>0</v>
      </c>
      <c r="O64" s="305">
        <f t="shared" si="50"/>
        <v>0</v>
      </c>
      <c r="P64" s="305">
        <f t="shared" si="50"/>
        <v>0</v>
      </c>
      <c r="Q64" s="305">
        <f t="shared" si="50"/>
        <v>0</v>
      </c>
      <c r="R64" s="305">
        <f t="shared" si="50"/>
        <v>0</v>
      </c>
      <c r="S64" s="305">
        <f t="shared" si="50"/>
        <v>0</v>
      </c>
      <c r="T64" s="305">
        <f t="shared" si="50"/>
        <v>0</v>
      </c>
      <c r="U64" s="305">
        <f t="shared" si="50"/>
        <v>0</v>
      </c>
      <c r="V64" s="305">
        <f t="shared" si="50"/>
        <v>0</v>
      </c>
      <c r="W64" s="305">
        <f t="shared" si="50"/>
        <v>0</v>
      </c>
      <c r="X64" s="305">
        <f t="shared" si="50"/>
        <v>0</v>
      </c>
      <c r="Y64" s="305">
        <f t="shared" si="50"/>
        <v>0</v>
      </c>
      <c r="Z64" s="305">
        <f t="shared" si="50"/>
        <v>0</v>
      </c>
      <c r="AA64" s="305">
        <f t="shared" si="50"/>
        <v>0</v>
      </c>
      <c r="AB64" s="305">
        <f t="shared" si="50"/>
        <v>0</v>
      </c>
      <c r="AC64" s="305">
        <f t="shared" si="50"/>
        <v>0</v>
      </c>
      <c r="AD64" s="305">
        <f t="shared" si="50"/>
        <v>0</v>
      </c>
      <c r="AE64" s="305">
        <f t="shared" si="50"/>
        <v>0</v>
      </c>
      <c r="AF64" s="305">
        <f t="shared" si="50"/>
        <v>0</v>
      </c>
      <c r="AG64" s="305">
        <f t="shared" si="50"/>
        <v>0</v>
      </c>
      <c r="AH64" s="305">
        <f t="shared" si="50"/>
        <v>0</v>
      </c>
      <c r="AI64" s="306">
        <f t="shared" si="34"/>
        <v>0</v>
      </c>
      <c r="AL64" s="12"/>
    </row>
    <row r="65" spans="2:38" ht="15.75" thickBot="1">
      <c r="B65" s="15"/>
      <c r="C65" s="658">
        <f t="shared" si="46"/>
        <v>14</v>
      </c>
      <c r="D65" s="649">
        <f t="shared" si="32"/>
        <v>0</v>
      </c>
      <c r="E65" s="649"/>
      <c r="F65" s="649"/>
      <c r="G65" s="649">
        <f t="shared" si="35"/>
        <v>0</v>
      </c>
      <c r="H65" s="649"/>
      <c r="I65" s="312"/>
      <c r="J65" s="305">
        <f t="shared" ref="J65:AH65" si="51">IF($G23&gt;=25,$G65,IF(J$51&lt;=$G23,$G65,IF(J$51&lt;=($G23*($Z23+1)),$G65,0)))</f>
        <v>0</v>
      </c>
      <c r="K65" s="305">
        <f t="shared" si="51"/>
        <v>0</v>
      </c>
      <c r="L65" s="305">
        <f t="shared" si="51"/>
        <v>0</v>
      </c>
      <c r="M65" s="305">
        <f t="shared" si="51"/>
        <v>0</v>
      </c>
      <c r="N65" s="305">
        <f t="shared" si="51"/>
        <v>0</v>
      </c>
      <c r="O65" s="305">
        <f t="shared" si="51"/>
        <v>0</v>
      </c>
      <c r="P65" s="305">
        <f t="shared" si="51"/>
        <v>0</v>
      </c>
      <c r="Q65" s="305">
        <f t="shared" si="51"/>
        <v>0</v>
      </c>
      <c r="R65" s="305">
        <f t="shared" si="51"/>
        <v>0</v>
      </c>
      <c r="S65" s="305">
        <f t="shared" si="51"/>
        <v>0</v>
      </c>
      <c r="T65" s="305">
        <f t="shared" si="51"/>
        <v>0</v>
      </c>
      <c r="U65" s="305">
        <f t="shared" si="51"/>
        <v>0</v>
      </c>
      <c r="V65" s="305">
        <f t="shared" si="51"/>
        <v>0</v>
      </c>
      <c r="W65" s="305">
        <f t="shared" si="51"/>
        <v>0</v>
      </c>
      <c r="X65" s="305">
        <f t="shared" si="51"/>
        <v>0</v>
      </c>
      <c r="Y65" s="305">
        <f t="shared" si="51"/>
        <v>0</v>
      </c>
      <c r="Z65" s="305">
        <f t="shared" si="51"/>
        <v>0</v>
      </c>
      <c r="AA65" s="305">
        <f t="shared" si="51"/>
        <v>0</v>
      </c>
      <c r="AB65" s="305">
        <f t="shared" si="51"/>
        <v>0</v>
      </c>
      <c r="AC65" s="305">
        <f t="shared" si="51"/>
        <v>0</v>
      </c>
      <c r="AD65" s="305">
        <f t="shared" si="51"/>
        <v>0</v>
      </c>
      <c r="AE65" s="305">
        <f t="shared" si="51"/>
        <v>0</v>
      </c>
      <c r="AF65" s="305">
        <f t="shared" si="51"/>
        <v>0</v>
      </c>
      <c r="AG65" s="305">
        <f t="shared" si="51"/>
        <v>0</v>
      </c>
      <c r="AH65" s="305">
        <f t="shared" si="51"/>
        <v>0</v>
      </c>
      <c r="AI65" s="306">
        <f t="shared" si="34"/>
        <v>0</v>
      </c>
      <c r="AL65" s="12"/>
    </row>
    <row r="66" spans="2:38" ht="15.75" customHeight="1" thickBot="1">
      <c r="B66" s="15"/>
      <c r="C66" s="659">
        <f t="shared" si="46"/>
        <v>15</v>
      </c>
      <c r="D66" s="653">
        <f t="shared" si="32"/>
        <v>0</v>
      </c>
      <c r="E66" s="653"/>
      <c r="F66" s="653"/>
      <c r="G66" s="653">
        <f t="shared" si="35"/>
        <v>0</v>
      </c>
      <c r="H66" s="653"/>
      <c r="I66" s="655"/>
      <c r="J66" s="305">
        <f t="shared" ref="J66:AH66" si="52">IF($G24&gt;=25,$G66,IF(J$51&lt;=$G24,$G66,IF(J$51&lt;=($G24*($Z24+1)),$G66,0)))</f>
        <v>0</v>
      </c>
      <c r="K66" s="305">
        <f t="shared" si="52"/>
        <v>0</v>
      </c>
      <c r="L66" s="305">
        <f t="shared" si="52"/>
        <v>0</v>
      </c>
      <c r="M66" s="305">
        <f t="shared" si="52"/>
        <v>0</v>
      </c>
      <c r="N66" s="305">
        <f t="shared" si="52"/>
        <v>0</v>
      </c>
      <c r="O66" s="305">
        <f t="shared" si="52"/>
        <v>0</v>
      </c>
      <c r="P66" s="305">
        <f t="shared" si="52"/>
        <v>0</v>
      </c>
      <c r="Q66" s="305">
        <f t="shared" si="52"/>
        <v>0</v>
      </c>
      <c r="R66" s="305">
        <f t="shared" si="52"/>
        <v>0</v>
      </c>
      <c r="S66" s="305">
        <f t="shared" si="52"/>
        <v>0</v>
      </c>
      <c r="T66" s="305">
        <f t="shared" si="52"/>
        <v>0</v>
      </c>
      <c r="U66" s="305">
        <f t="shared" si="52"/>
        <v>0</v>
      </c>
      <c r="V66" s="305">
        <f t="shared" si="52"/>
        <v>0</v>
      </c>
      <c r="W66" s="305">
        <f t="shared" si="52"/>
        <v>0</v>
      </c>
      <c r="X66" s="305">
        <f t="shared" si="52"/>
        <v>0</v>
      </c>
      <c r="Y66" s="305">
        <f t="shared" si="52"/>
        <v>0</v>
      </c>
      <c r="Z66" s="305">
        <f t="shared" si="52"/>
        <v>0</v>
      </c>
      <c r="AA66" s="305">
        <f t="shared" si="52"/>
        <v>0</v>
      </c>
      <c r="AB66" s="305">
        <f t="shared" si="52"/>
        <v>0</v>
      </c>
      <c r="AC66" s="305">
        <f t="shared" si="52"/>
        <v>0</v>
      </c>
      <c r="AD66" s="305">
        <f t="shared" si="52"/>
        <v>0</v>
      </c>
      <c r="AE66" s="305">
        <f t="shared" si="52"/>
        <v>0</v>
      </c>
      <c r="AF66" s="305">
        <f t="shared" si="52"/>
        <v>0</v>
      </c>
      <c r="AG66" s="305">
        <f t="shared" si="52"/>
        <v>0</v>
      </c>
      <c r="AH66" s="305">
        <f t="shared" si="52"/>
        <v>0</v>
      </c>
      <c r="AI66" s="307">
        <f>SUM(S66:AH66)</f>
        <v>0</v>
      </c>
      <c r="AL66" s="12"/>
    </row>
    <row r="67" spans="2:38" ht="15.75" thickBot="1">
      <c r="B67" s="15"/>
      <c r="C67" s="102"/>
      <c r="D67" s="310"/>
      <c r="E67" s="310"/>
      <c r="F67" s="310"/>
      <c r="G67" s="311"/>
      <c r="H67" s="311"/>
      <c r="I67" s="313" t="s">
        <v>35</v>
      </c>
      <c r="J67" s="308">
        <f t="shared" ref="J67:AH67" si="53">SUM(J52:J66)</f>
        <v>0</v>
      </c>
      <c r="K67" s="308">
        <f t="shared" si="53"/>
        <v>0</v>
      </c>
      <c r="L67" s="308">
        <f t="shared" si="53"/>
        <v>0</v>
      </c>
      <c r="M67" s="308">
        <f t="shared" si="53"/>
        <v>0</v>
      </c>
      <c r="N67" s="308">
        <f t="shared" si="53"/>
        <v>0</v>
      </c>
      <c r="O67" s="308">
        <f t="shared" si="53"/>
        <v>0</v>
      </c>
      <c r="P67" s="308">
        <f t="shared" ref="P67:R67" si="54">SUM(P52:P66)</f>
        <v>0</v>
      </c>
      <c r="Q67" s="308">
        <f t="shared" si="54"/>
        <v>0</v>
      </c>
      <c r="R67" s="308">
        <f t="shared" si="54"/>
        <v>0</v>
      </c>
      <c r="S67" s="308">
        <f t="shared" si="53"/>
        <v>0</v>
      </c>
      <c r="T67" s="308">
        <f t="shared" si="53"/>
        <v>0</v>
      </c>
      <c r="U67" s="308">
        <f t="shared" si="53"/>
        <v>0</v>
      </c>
      <c r="V67" s="308">
        <f t="shared" si="53"/>
        <v>0</v>
      </c>
      <c r="W67" s="308">
        <f t="shared" si="53"/>
        <v>0</v>
      </c>
      <c r="X67" s="308">
        <f t="shared" si="53"/>
        <v>0</v>
      </c>
      <c r="Y67" s="308">
        <f t="shared" si="53"/>
        <v>0</v>
      </c>
      <c r="Z67" s="308">
        <f t="shared" si="53"/>
        <v>0</v>
      </c>
      <c r="AA67" s="308">
        <f t="shared" si="53"/>
        <v>0</v>
      </c>
      <c r="AB67" s="308">
        <f t="shared" si="53"/>
        <v>0</v>
      </c>
      <c r="AC67" s="308">
        <f t="shared" si="53"/>
        <v>0</v>
      </c>
      <c r="AD67" s="308">
        <f t="shared" si="53"/>
        <v>0</v>
      </c>
      <c r="AE67" s="308">
        <f t="shared" si="53"/>
        <v>0</v>
      </c>
      <c r="AF67" s="308">
        <f t="shared" si="53"/>
        <v>0</v>
      </c>
      <c r="AG67" s="308">
        <f t="shared" si="53"/>
        <v>0</v>
      </c>
      <c r="AH67" s="308">
        <f t="shared" si="53"/>
        <v>0</v>
      </c>
      <c r="AI67" s="309">
        <f>SUM(AI52:AI66)</f>
        <v>0</v>
      </c>
      <c r="AL67" s="12"/>
    </row>
    <row r="68" spans="2:38" ht="24.75" customHeight="1" thickBot="1">
      <c r="B68" s="15"/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392"/>
      <c r="W68" s="393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7"/>
      <c r="AK68" s="62"/>
      <c r="AL68" s="12"/>
    </row>
    <row r="69" spans="2:38" ht="24.75" customHeight="1">
      <c r="B69" s="15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K69" s="62"/>
      <c r="AL69" s="12"/>
    </row>
    <row r="70" spans="2:38">
      <c r="B70" s="15"/>
      <c r="C70" s="2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K70" s="62"/>
      <c r="AL70" s="12"/>
    </row>
    <row r="71" spans="2:38">
      <c r="B71" s="15"/>
      <c r="C71" s="2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K71" s="62"/>
      <c r="AL71" s="12"/>
    </row>
    <row r="72" spans="2:38" ht="15.75" thickBot="1">
      <c r="B72" s="109"/>
      <c r="C72" s="26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4"/>
    </row>
    <row r="73" spans="2:38">
      <c r="AA73" s="3"/>
      <c r="AB73" s="3"/>
      <c r="AH73" s="62"/>
    </row>
    <row r="74" spans="2:38">
      <c r="AA74" s="3"/>
      <c r="AB74" s="3"/>
      <c r="AH74" s="62"/>
    </row>
    <row r="75" spans="2:38">
      <c r="AH75" s="62"/>
    </row>
    <row r="76" spans="2:38">
      <c r="AH76" s="62"/>
    </row>
    <row r="77" spans="2:38">
      <c r="AH77" s="62"/>
    </row>
    <row r="78" spans="2:38">
      <c r="AH78" s="62"/>
    </row>
    <row r="79" spans="2:38">
      <c r="AH79" s="62"/>
    </row>
    <row r="80" spans="2:38">
      <c r="C80" s="3"/>
      <c r="AA80" s="3"/>
      <c r="AB80" s="3"/>
      <c r="AH80" s="62"/>
    </row>
    <row r="81" spans="3:34">
      <c r="C81" s="3"/>
      <c r="AA81" s="3"/>
      <c r="AB81" s="3"/>
      <c r="AH81" s="62"/>
    </row>
    <row r="82" spans="3:34">
      <c r="C82" s="3"/>
      <c r="AA82" s="3"/>
      <c r="AB82" s="3"/>
      <c r="AH82" s="62"/>
    </row>
    <row r="83" spans="3:34">
      <c r="C83" s="3"/>
      <c r="AA83" s="3"/>
      <c r="AB83" s="3"/>
      <c r="AH83" s="62"/>
    </row>
    <row r="84" spans="3:34">
      <c r="C84" s="3"/>
      <c r="AA84" s="3"/>
      <c r="AB84" s="3"/>
      <c r="AH84" s="62"/>
    </row>
    <row r="85" spans="3:34">
      <c r="C85" s="3"/>
      <c r="AA85" s="3"/>
      <c r="AB85" s="3"/>
      <c r="AH85" s="62"/>
    </row>
    <row r="86" spans="3:34">
      <c r="C86" s="3"/>
      <c r="AA86" s="3"/>
      <c r="AB86" s="3"/>
      <c r="AH86" s="62"/>
    </row>
    <row r="87" spans="3:34">
      <c r="C87" s="3"/>
      <c r="AA87" s="3"/>
      <c r="AB87" s="3"/>
      <c r="AH87" s="62"/>
    </row>
    <row r="88" spans="3:34">
      <c r="C88" s="3"/>
      <c r="AA88" s="3"/>
      <c r="AB88" s="3"/>
      <c r="AH88" s="62"/>
    </row>
    <row r="89" spans="3:34">
      <c r="C89" s="3"/>
      <c r="AA89" s="3"/>
      <c r="AB89" s="3"/>
      <c r="AH89" s="62"/>
    </row>
    <row r="90" spans="3:34">
      <c r="C90" s="3"/>
      <c r="AA90" s="3"/>
      <c r="AB90" s="3"/>
      <c r="AH90" s="62"/>
    </row>
    <row r="91" spans="3:34">
      <c r="C91" s="3"/>
      <c r="AA91" s="3"/>
      <c r="AB91" s="3"/>
      <c r="AH91" s="62"/>
    </row>
    <row r="92" spans="3:34">
      <c r="C92" s="3"/>
      <c r="AA92" s="3"/>
      <c r="AB92" s="3"/>
      <c r="AH92" s="62"/>
    </row>
    <row r="93" spans="3:34">
      <c r="C93" s="3"/>
      <c r="AA93" s="3"/>
      <c r="AB93" s="3"/>
      <c r="AH93" s="62"/>
    </row>
    <row r="94" spans="3:34">
      <c r="C94" s="3"/>
      <c r="AA94" s="3"/>
      <c r="AB94" s="3"/>
      <c r="AH94" s="62"/>
    </row>
    <row r="95" spans="3:34">
      <c r="C95" s="3"/>
      <c r="AA95" s="3"/>
      <c r="AB95" s="3"/>
      <c r="AH95" s="62"/>
    </row>
    <row r="96" spans="3:34">
      <c r="C96" s="3"/>
      <c r="AA96" s="3"/>
      <c r="AB96" s="3"/>
      <c r="AH96" s="62"/>
    </row>
    <row r="97" spans="3:34">
      <c r="C97" s="3"/>
      <c r="AA97" s="3"/>
      <c r="AB97" s="3"/>
      <c r="AH97" s="62"/>
    </row>
    <row r="98" spans="3:34">
      <c r="C98" s="3"/>
      <c r="AA98" s="3"/>
      <c r="AB98" s="3"/>
      <c r="AH98" s="62"/>
    </row>
    <row r="99" spans="3:34">
      <c r="C99" s="3"/>
      <c r="AA99" s="3"/>
      <c r="AB99" s="3"/>
      <c r="AH99" s="62"/>
    </row>
    <row r="100" spans="3:34">
      <c r="C100" s="3"/>
      <c r="AA100" s="3"/>
      <c r="AB100" s="3"/>
      <c r="AH100" s="62"/>
    </row>
    <row r="101" spans="3:34">
      <c r="C101" s="3"/>
      <c r="AA101" s="3"/>
      <c r="AB101" s="3"/>
      <c r="AH101" s="62"/>
    </row>
    <row r="102" spans="3:34">
      <c r="C102" s="3"/>
      <c r="AA102" s="3"/>
      <c r="AB102" s="3"/>
      <c r="AH102" s="62"/>
    </row>
    <row r="103" spans="3:34">
      <c r="C103" s="3"/>
      <c r="AA103" s="3"/>
      <c r="AB103" s="3"/>
      <c r="AH103" s="62"/>
    </row>
    <row r="104" spans="3:34">
      <c r="C104" s="3"/>
      <c r="AA104" s="3"/>
      <c r="AB104" s="3"/>
      <c r="AH104" s="62"/>
    </row>
    <row r="105" spans="3:34">
      <c r="C105" s="3"/>
      <c r="AA105" s="3"/>
      <c r="AB105" s="3"/>
      <c r="AH105" s="62"/>
    </row>
    <row r="106" spans="3:34">
      <c r="C106" s="3"/>
      <c r="AA106" s="3"/>
      <c r="AB106" s="3"/>
      <c r="AH106" s="62"/>
    </row>
    <row r="108" spans="3:34">
      <c r="C108" s="3"/>
      <c r="AA108" s="3"/>
      <c r="AB108" s="3"/>
      <c r="AH108" s="62"/>
    </row>
    <row r="110" spans="3:34">
      <c r="C110" s="3"/>
      <c r="AA110" s="3"/>
      <c r="AB110" s="3"/>
      <c r="AH110" s="62"/>
    </row>
    <row r="112" spans="3:34">
      <c r="C112" s="3"/>
      <c r="AA112" s="3"/>
      <c r="AB112" s="3"/>
      <c r="AH112" s="62"/>
    </row>
    <row r="114" spans="3:34">
      <c r="C114" s="3"/>
      <c r="AA114" s="3"/>
      <c r="AB114" s="3"/>
      <c r="AH114" s="62"/>
    </row>
    <row r="116" spans="3:34">
      <c r="C116" s="3"/>
      <c r="AA116" s="3"/>
      <c r="AB116" s="3"/>
      <c r="AH116" s="62"/>
    </row>
    <row r="118" spans="3:34">
      <c r="C118" s="3"/>
      <c r="AA118" s="3"/>
      <c r="AB118" s="3"/>
      <c r="AH118" s="62"/>
    </row>
    <row r="120" spans="3:34">
      <c r="C120" s="3"/>
      <c r="AA120" s="3"/>
      <c r="AB120" s="3"/>
      <c r="AH120" s="62"/>
    </row>
    <row r="121" spans="3:34">
      <c r="C121" s="3"/>
      <c r="AA121" s="3"/>
      <c r="AB121" s="3"/>
      <c r="AH121" s="3">
        <v>76</v>
      </c>
    </row>
    <row r="122" spans="3:34">
      <c r="C122" s="3"/>
      <c r="AA122" s="3"/>
      <c r="AB122" s="3"/>
      <c r="AH122" s="62">
        <v>77</v>
      </c>
    </row>
    <row r="123" spans="3:34">
      <c r="C123" s="3"/>
      <c r="AA123" s="3"/>
      <c r="AB123" s="3"/>
      <c r="AH123" s="3">
        <v>78</v>
      </c>
    </row>
  </sheetData>
  <sheetProtection password="CCE5" sheet="1" objects="1" scenarios="1" insertRows="0" selectLockedCells="1"/>
  <protectedRanges>
    <protectedRange sqref="X10:Z24 M10:N24 R10:R24 AB10:AC24 H10:J24 E10:F24" name="Folha5"/>
  </protectedRanges>
  <mergeCells count="16">
    <mergeCell ref="J32:AH32"/>
    <mergeCell ref="J31:AI31"/>
    <mergeCell ref="U7:V7"/>
    <mergeCell ref="AB6:AF6"/>
    <mergeCell ref="C3:E3"/>
    <mergeCell ref="C4:I4"/>
    <mergeCell ref="C5:E5"/>
    <mergeCell ref="R6:W6"/>
    <mergeCell ref="X6:AA6"/>
    <mergeCell ref="C29:E29"/>
    <mergeCell ref="H6:L6"/>
    <mergeCell ref="M6:Q6"/>
    <mergeCell ref="C9:G9"/>
    <mergeCell ref="C28:D28"/>
    <mergeCell ref="C26:D26"/>
    <mergeCell ref="C27:D27"/>
  </mergeCells>
  <dataValidations count="1">
    <dataValidation type="list" allowBlank="1" showInputMessage="1" showErrorMessage="1" sqref="D10:D24">
      <formula1>$AQ$10:$AQ$12</formula1>
    </dataValidation>
  </dataValidations>
  <pageMargins left="0.7" right="0.7" top="0.75" bottom="0.75" header="0.3" footer="0.3"/>
  <pageSetup paperSize="9" orientation="portrait" r:id="rId1"/>
  <ignoredErrors>
    <ignoredError sqref="T2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B1:AW75"/>
  <sheetViews>
    <sheetView showGridLines="0" topLeftCell="A4" zoomScale="85" zoomScaleNormal="85" workbookViewId="0">
      <selection activeCell="E11" sqref="E11:F11"/>
    </sheetView>
  </sheetViews>
  <sheetFormatPr defaultColWidth="9.140625" defaultRowHeight="15"/>
  <cols>
    <col min="1" max="1" width="4.42578125" style="3" customWidth="1"/>
    <col min="2" max="2" width="5.42578125" style="3" customWidth="1"/>
    <col min="3" max="3" width="11.7109375" style="1" customWidth="1"/>
    <col min="4" max="4" width="40.42578125" style="1" customWidth="1"/>
    <col min="5" max="5" width="74" style="3" customWidth="1"/>
    <col min="6" max="6" width="13.5703125" style="3" customWidth="1"/>
    <col min="7" max="7" width="17.85546875" style="3" customWidth="1"/>
    <col min="8" max="8" width="15.42578125" style="3" customWidth="1"/>
    <col min="9" max="9" width="13.5703125" style="3" customWidth="1"/>
    <col min="10" max="10" width="21.7109375" style="3" customWidth="1"/>
    <col min="11" max="11" width="17.42578125" style="3" customWidth="1"/>
    <col min="12" max="13" width="13.5703125" style="3" customWidth="1"/>
    <col min="14" max="14" width="6.5703125" style="3" customWidth="1"/>
    <col min="15" max="19" width="15.7109375" style="3" bestFit="1" customWidth="1"/>
    <col min="20" max="20" width="18" style="3" bestFit="1" customWidth="1"/>
    <col min="21" max="21" width="12.85546875" style="3" customWidth="1"/>
    <col min="22" max="22" width="9.140625" style="3"/>
    <col min="23" max="23" width="11.85546875" style="3" customWidth="1"/>
    <col min="24" max="16384" width="9.140625" style="3"/>
  </cols>
  <sheetData>
    <row r="1" spans="2:32" ht="15.75" thickBot="1"/>
    <row r="2" spans="2:32">
      <c r="B2" s="48"/>
      <c r="C2" s="49"/>
      <c r="D2" s="49"/>
      <c r="E2" s="7"/>
      <c r="F2" s="7"/>
      <c r="G2" s="7"/>
      <c r="H2" s="7"/>
      <c r="I2" s="7"/>
      <c r="J2" s="7"/>
      <c r="K2" s="8"/>
    </row>
    <row r="3" spans="2:32" ht="21">
      <c r="B3" s="15"/>
      <c r="C3" s="805" t="s">
        <v>25</v>
      </c>
      <c r="D3" s="805"/>
      <c r="E3" s="805"/>
      <c r="F3" s="10"/>
      <c r="G3" s="10"/>
      <c r="H3" s="11"/>
      <c r="I3" s="11"/>
      <c r="J3" s="11"/>
      <c r="K3" s="12"/>
    </row>
    <row r="4" spans="2:32" ht="50.25" customHeight="1">
      <c r="B4" s="15"/>
      <c r="C4" s="821" t="s">
        <v>271</v>
      </c>
      <c r="D4" s="821"/>
      <c r="E4" s="821"/>
      <c r="F4" s="821"/>
      <c r="G4" s="821"/>
      <c r="H4" s="821"/>
      <c r="I4" s="821"/>
      <c r="J4" s="821"/>
      <c r="K4" s="12"/>
      <c r="AA4" s="122"/>
      <c r="AB4" s="122"/>
      <c r="AC4" s="122"/>
      <c r="AD4" s="122"/>
      <c r="AE4" s="122"/>
      <c r="AF4" s="122"/>
    </row>
    <row r="5" spans="2:32" ht="18.75">
      <c r="B5" s="15"/>
      <c r="C5" s="840" t="s">
        <v>26</v>
      </c>
      <c r="D5" s="840"/>
      <c r="E5" s="840"/>
      <c r="F5" s="840"/>
      <c r="G5" s="840"/>
      <c r="H5" s="840"/>
      <c r="I5" s="840"/>
      <c r="J5" s="840"/>
      <c r="K5" s="12"/>
      <c r="AA5" s="122"/>
      <c r="AB5" s="122"/>
      <c r="AC5" s="122"/>
      <c r="AD5" s="122"/>
      <c r="AE5" s="122"/>
      <c r="AF5" s="122"/>
    </row>
    <row r="6" spans="2:32" ht="15.75" thickBot="1">
      <c r="B6" s="15"/>
      <c r="C6" s="11"/>
      <c r="D6" s="11"/>
      <c r="E6" s="11"/>
      <c r="F6" s="11"/>
      <c r="G6" s="11"/>
      <c r="H6" s="11"/>
      <c r="I6" s="11"/>
      <c r="J6" s="11"/>
      <c r="K6" s="12"/>
      <c r="AA6" s="122"/>
      <c r="AB6" s="122"/>
      <c r="AC6" s="122"/>
      <c r="AD6" s="122"/>
      <c r="AE6" s="122"/>
      <c r="AF6" s="122"/>
    </row>
    <row r="7" spans="2:32" s="55" customFormat="1">
      <c r="B7" s="51"/>
      <c r="C7" s="52"/>
      <c r="D7" s="52"/>
      <c r="E7" s="53"/>
      <c r="F7" s="53"/>
      <c r="G7" s="837" t="s">
        <v>0</v>
      </c>
      <c r="H7" s="838"/>
      <c r="I7" s="838"/>
      <c r="J7" s="839"/>
      <c r="K7" s="110"/>
      <c r="X7" s="122"/>
      <c r="Y7" s="122"/>
      <c r="Z7" s="122"/>
      <c r="AA7" s="122"/>
      <c r="AB7" s="122"/>
      <c r="AC7" s="122"/>
    </row>
    <row r="8" spans="2:32" s="62" customFormat="1" ht="51.75" customHeight="1" thickBot="1">
      <c r="B8" s="56"/>
      <c r="C8" s="57"/>
      <c r="D8" s="57"/>
      <c r="E8" s="58"/>
      <c r="F8" s="58"/>
      <c r="G8" s="281" t="s">
        <v>93</v>
      </c>
      <c r="H8" s="282" t="s">
        <v>53</v>
      </c>
      <c r="I8" s="551" t="s">
        <v>216</v>
      </c>
      <c r="J8" s="552" t="s">
        <v>217</v>
      </c>
      <c r="K8" s="54"/>
      <c r="X8" s="122"/>
      <c r="Y8" s="122"/>
      <c r="Z8" s="122"/>
      <c r="AA8" s="122"/>
      <c r="AB8" s="122"/>
      <c r="AC8" s="122"/>
    </row>
    <row r="9" spans="2:32" s="62" customFormat="1" ht="63" customHeight="1">
      <c r="B9" s="56"/>
      <c r="C9" s="63" t="s">
        <v>9</v>
      </c>
      <c r="D9" s="474" t="s">
        <v>10</v>
      </c>
      <c r="E9" s="841" t="s">
        <v>28</v>
      </c>
      <c r="F9" s="842"/>
      <c r="G9" s="69" t="s">
        <v>47</v>
      </c>
      <c r="H9" s="70" t="s">
        <v>47</v>
      </c>
      <c r="I9" s="67" t="s">
        <v>47</v>
      </c>
      <c r="J9" s="549" t="s">
        <v>47</v>
      </c>
      <c r="K9" s="54"/>
      <c r="X9" s="122"/>
      <c r="Y9" s="122"/>
      <c r="Z9" s="122"/>
      <c r="AA9" s="122"/>
      <c r="AB9" s="122"/>
      <c r="AC9" s="122"/>
    </row>
    <row r="10" spans="2:32" s="62" customFormat="1" ht="37.5" customHeight="1">
      <c r="B10" s="56"/>
      <c r="C10" s="827" t="s">
        <v>54</v>
      </c>
      <c r="D10" s="828"/>
      <c r="E10" s="828"/>
      <c r="F10" s="469"/>
      <c r="G10" s="72"/>
      <c r="H10" s="71"/>
      <c r="I10" s="71"/>
      <c r="J10" s="119"/>
      <c r="K10" s="54"/>
      <c r="X10" s="122"/>
      <c r="Y10" s="122"/>
      <c r="Z10" s="122"/>
      <c r="AA10" s="122"/>
      <c r="AB10" s="122"/>
      <c r="AC10" s="122"/>
    </row>
    <row r="11" spans="2:32" ht="32.25" customHeight="1">
      <c r="B11" s="15"/>
      <c r="C11" s="74">
        <v>1</v>
      </c>
      <c r="D11" s="419"/>
      <c r="E11" s="833"/>
      <c r="F11" s="834"/>
      <c r="G11" s="619"/>
      <c r="H11" s="405"/>
      <c r="I11" s="397">
        <f>IF(G11="",0,IF(G11=0,G11+H11,G11+H11-J11*(1+H11/G11)))</f>
        <v>0</v>
      </c>
      <c r="J11" s="550">
        <v>0</v>
      </c>
      <c r="K11" s="12"/>
      <c r="X11" s="122"/>
      <c r="Y11" s="122"/>
      <c r="Z11" s="122"/>
      <c r="AA11" s="122"/>
      <c r="AB11" s="122"/>
      <c r="AC11" s="122"/>
    </row>
    <row r="12" spans="2:32" ht="32.25" customHeight="1">
      <c r="B12" s="15"/>
      <c r="C12" s="74">
        <v>2</v>
      </c>
      <c r="D12" s="419"/>
      <c r="E12" s="833"/>
      <c r="F12" s="834"/>
      <c r="G12" s="410"/>
      <c r="H12" s="405"/>
      <c r="I12" s="397">
        <f t="shared" ref="I12:I16" si="0">IF(G12="",0,IF(G12=0,G12+H12,G12+H12-J12*(1+H12/G12)))</f>
        <v>0</v>
      </c>
      <c r="J12" s="550">
        <v>0</v>
      </c>
      <c r="K12" s="12"/>
      <c r="X12" s="122"/>
      <c r="Y12" s="122"/>
      <c r="Z12" s="122"/>
      <c r="AA12" s="122"/>
      <c r="AB12" s="122"/>
      <c r="AC12" s="122"/>
    </row>
    <row r="13" spans="2:32" ht="32.25" customHeight="1">
      <c r="B13" s="15"/>
      <c r="C13" s="74">
        <v>3</v>
      </c>
      <c r="D13" s="419"/>
      <c r="E13" s="833"/>
      <c r="F13" s="834"/>
      <c r="G13" s="410"/>
      <c r="H13" s="405"/>
      <c r="I13" s="397">
        <f t="shared" si="0"/>
        <v>0</v>
      </c>
      <c r="J13" s="550">
        <v>0</v>
      </c>
      <c r="K13" s="12"/>
      <c r="X13" s="122"/>
      <c r="Y13" s="122"/>
      <c r="Z13" s="122"/>
      <c r="AA13" s="122"/>
      <c r="AB13" s="122"/>
      <c r="AC13" s="122"/>
    </row>
    <row r="14" spans="2:32" ht="32.25" customHeight="1">
      <c r="B14" s="15"/>
      <c r="C14" s="74">
        <v>4</v>
      </c>
      <c r="D14" s="419"/>
      <c r="E14" s="833"/>
      <c r="F14" s="834"/>
      <c r="G14" s="410"/>
      <c r="H14" s="405"/>
      <c r="I14" s="397">
        <f t="shared" si="0"/>
        <v>0</v>
      </c>
      <c r="J14" s="550">
        <v>0</v>
      </c>
      <c r="K14" s="12"/>
      <c r="X14" s="122"/>
      <c r="Y14" s="122"/>
      <c r="Z14" s="122"/>
      <c r="AA14" s="122"/>
      <c r="AB14" s="122"/>
      <c r="AC14" s="122"/>
    </row>
    <row r="15" spans="2:32" ht="32.25" customHeight="1">
      <c r="B15" s="15"/>
      <c r="C15" s="74">
        <v>5</v>
      </c>
      <c r="D15" s="419"/>
      <c r="E15" s="833"/>
      <c r="F15" s="834"/>
      <c r="G15" s="410"/>
      <c r="H15" s="405"/>
      <c r="I15" s="397">
        <f t="shared" si="0"/>
        <v>0</v>
      </c>
      <c r="J15" s="550">
        <v>0</v>
      </c>
      <c r="K15" s="12"/>
      <c r="X15" s="122"/>
      <c r="Y15" s="122"/>
      <c r="Z15" s="122"/>
      <c r="AA15" s="122"/>
      <c r="AB15" s="122"/>
      <c r="AC15" s="122"/>
    </row>
    <row r="16" spans="2:32" ht="32.25" customHeight="1" thickBot="1">
      <c r="B16" s="15"/>
      <c r="C16" s="78">
        <v>6</v>
      </c>
      <c r="D16" s="420"/>
      <c r="E16" s="835"/>
      <c r="F16" s="836"/>
      <c r="G16" s="553"/>
      <c r="H16" s="417"/>
      <c r="I16" s="470">
        <f t="shared" si="0"/>
        <v>0</v>
      </c>
      <c r="J16" s="554">
        <v>0</v>
      </c>
      <c r="K16" s="12"/>
      <c r="X16" s="122"/>
      <c r="Y16" s="122"/>
      <c r="Z16" s="122"/>
      <c r="AA16" s="122"/>
      <c r="AB16" s="122"/>
      <c r="AC16" s="122"/>
    </row>
    <row r="17" spans="2:49" ht="15.75" thickBot="1">
      <c r="B17" s="15"/>
      <c r="C17" s="20"/>
      <c r="D17" s="20"/>
      <c r="E17" s="11"/>
      <c r="F17" s="11"/>
      <c r="G17" s="555">
        <f>SUM(G11:G16)</f>
        <v>0</v>
      </c>
      <c r="H17" s="556">
        <f>SUM(H11:H16)</f>
        <v>0</v>
      </c>
      <c r="I17" s="556">
        <f>SUM(I11:I16)</f>
        <v>0</v>
      </c>
      <c r="J17" s="557">
        <f>SUM(J11:J16)</f>
        <v>0</v>
      </c>
      <c r="K17" s="12"/>
      <c r="Y17" s="4"/>
    </row>
    <row r="18" spans="2:49" s="1" customFormat="1" ht="24.95" customHeight="1" thickBot="1">
      <c r="B18" s="9"/>
      <c r="C18" s="20"/>
      <c r="D18" s="123" t="s">
        <v>176</v>
      </c>
      <c r="E18" s="451">
        <f>+G17+H17</f>
        <v>0</v>
      </c>
      <c r="F18" s="20"/>
      <c r="G18" s="52"/>
      <c r="H18" s="52"/>
      <c r="I18" s="52"/>
      <c r="J18" s="52"/>
      <c r="K18" s="80"/>
      <c r="AA18" s="45"/>
    </row>
    <row r="19" spans="2:49" ht="24.95" customHeight="1" thickBot="1">
      <c r="B19" s="9"/>
      <c r="C19" s="20"/>
      <c r="D19" s="123" t="s">
        <v>177</v>
      </c>
      <c r="E19" s="451">
        <f>I17</f>
        <v>0</v>
      </c>
      <c r="F19" s="20"/>
      <c r="K19" s="80"/>
      <c r="AU19" s="62"/>
      <c r="AV19" s="62"/>
      <c r="AW19" s="62"/>
    </row>
    <row r="20" spans="2:49" ht="24.95" customHeight="1" thickBot="1">
      <c r="B20" s="9"/>
      <c r="C20" s="20"/>
      <c r="D20" s="596" t="s">
        <v>219</v>
      </c>
      <c r="E20" s="451">
        <f>E18-E19</f>
        <v>0</v>
      </c>
      <c r="K20" s="12"/>
      <c r="AT20" s="62"/>
      <c r="AU20" s="62"/>
      <c r="AV20" s="62"/>
    </row>
    <row r="21" spans="2:49" ht="24.75" customHeight="1" thickBot="1">
      <c r="B21" s="109"/>
      <c r="C21" s="104"/>
      <c r="D21" s="832" t="s">
        <v>249</v>
      </c>
      <c r="E21" s="832"/>
      <c r="F21" s="612"/>
      <c r="G21" s="104"/>
      <c r="H21" s="106"/>
      <c r="I21" s="106"/>
      <c r="J21" s="106"/>
      <c r="K21" s="107"/>
      <c r="L21" s="90"/>
      <c r="M21" s="90"/>
      <c r="N21" s="90"/>
      <c r="O21" s="90"/>
      <c r="P21" s="90"/>
      <c r="Q21" s="90"/>
      <c r="S21" s="62"/>
    </row>
    <row r="22" spans="2:49">
      <c r="D22" s="826"/>
      <c r="E22" s="826"/>
      <c r="F22" s="826"/>
      <c r="V22" s="62"/>
    </row>
    <row r="23" spans="2:49">
      <c r="B23" s="256"/>
      <c r="C23" s="257"/>
      <c r="D23" s="257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V23" s="62"/>
    </row>
    <row r="24" spans="2:49">
      <c r="B24" s="256"/>
      <c r="C24" s="257"/>
      <c r="D24" s="257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V24" s="62"/>
    </row>
    <row r="25" spans="2:49">
      <c r="B25" s="256"/>
      <c r="C25" s="257"/>
      <c r="D25" s="259"/>
      <c r="E25" s="13"/>
      <c r="F25" s="13"/>
      <c r="G25" s="13"/>
      <c r="H25" s="13"/>
      <c r="I25" s="256"/>
      <c r="J25" s="256"/>
      <c r="K25" s="256"/>
      <c r="L25" s="256"/>
      <c r="M25" s="256"/>
      <c r="N25" s="256"/>
      <c r="V25" s="62"/>
    </row>
    <row r="26" spans="2:49">
      <c r="B26" s="256"/>
      <c r="C26" s="257"/>
      <c r="D26" s="259"/>
      <c r="E26" s="244"/>
      <c r="F26" s="13"/>
      <c r="G26" s="314"/>
      <c r="H26" s="13"/>
      <c r="I26" s="256"/>
      <c r="J26" s="256"/>
      <c r="K26" s="256"/>
      <c r="L26" s="256"/>
      <c r="M26" s="256"/>
      <c r="N26" s="256"/>
      <c r="V26" s="62"/>
    </row>
    <row r="27" spans="2:49">
      <c r="B27" s="256"/>
      <c r="C27" s="257"/>
      <c r="D27" s="259"/>
      <c r="E27" s="244"/>
      <c r="F27" s="13"/>
      <c r="G27" s="13"/>
      <c r="H27" s="13"/>
      <c r="I27" s="256"/>
      <c r="J27" s="256"/>
      <c r="K27" s="256"/>
      <c r="L27" s="256"/>
      <c r="M27" s="256"/>
      <c r="N27" s="256"/>
      <c r="V27" s="62"/>
    </row>
    <row r="28" spans="2:49">
      <c r="B28" s="256"/>
      <c r="C28" s="257"/>
      <c r="D28" s="257"/>
      <c r="E28" s="258"/>
      <c r="F28" s="256"/>
      <c r="G28" s="256"/>
      <c r="H28" s="256"/>
      <c r="I28" s="256"/>
      <c r="J28" s="256"/>
      <c r="K28" s="256"/>
      <c r="L28" s="256"/>
      <c r="M28" s="256"/>
      <c r="N28" s="256"/>
      <c r="V28" s="62"/>
    </row>
    <row r="29" spans="2:49">
      <c r="B29" s="256"/>
      <c r="C29" s="257"/>
      <c r="D29" s="257"/>
      <c r="E29" s="258"/>
      <c r="F29" s="256"/>
      <c r="G29" s="256"/>
      <c r="H29" s="256"/>
      <c r="I29" s="256"/>
      <c r="J29" s="256"/>
      <c r="K29" s="256"/>
      <c r="L29" s="256"/>
      <c r="M29" s="256"/>
      <c r="N29" s="256"/>
      <c r="V29" s="62"/>
    </row>
    <row r="30" spans="2:49">
      <c r="B30" s="256"/>
      <c r="C30" s="257"/>
      <c r="D30" s="257"/>
      <c r="E30" s="258"/>
      <c r="F30" s="256"/>
      <c r="G30" s="256"/>
      <c r="H30" s="256"/>
      <c r="I30" s="256"/>
      <c r="J30" s="256"/>
      <c r="K30" s="256"/>
      <c r="L30" s="256"/>
      <c r="M30" s="256"/>
      <c r="N30" s="256"/>
      <c r="V30" s="62"/>
    </row>
    <row r="31" spans="2:49">
      <c r="B31" s="256"/>
      <c r="C31" s="257"/>
      <c r="D31" s="257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V31" s="62"/>
    </row>
    <row r="32" spans="2:49">
      <c r="B32" s="256"/>
      <c r="C32" s="257"/>
      <c r="D32" s="257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V32" s="62"/>
    </row>
    <row r="33" spans="2:22">
      <c r="B33" s="256"/>
      <c r="C33" s="257"/>
      <c r="D33" s="257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V33" s="62"/>
    </row>
    <row r="34" spans="2:22">
      <c r="B34" s="256"/>
      <c r="C34" s="257"/>
      <c r="D34" s="257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V34" s="62"/>
    </row>
    <row r="35" spans="2:22">
      <c r="B35" s="256"/>
      <c r="C35" s="257"/>
      <c r="D35" s="257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V35" s="62"/>
    </row>
    <row r="36" spans="2:22">
      <c r="B36" s="256"/>
      <c r="C36" s="257"/>
      <c r="D36" s="257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V36" s="62"/>
    </row>
    <row r="37" spans="2:22">
      <c r="V37" s="62"/>
    </row>
    <row r="38" spans="2:22">
      <c r="V38" s="62"/>
    </row>
    <row r="39" spans="2:22">
      <c r="V39" s="62"/>
    </row>
    <row r="40" spans="2:22">
      <c r="V40" s="62"/>
    </row>
    <row r="41" spans="2:22">
      <c r="V41" s="62"/>
    </row>
    <row r="42" spans="2:22">
      <c r="V42" s="62"/>
    </row>
    <row r="43" spans="2:22">
      <c r="V43" s="62"/>
    </row>
    <row r="44" spans="2:22">
      <c r="V44" s="62"/>
    </row>
    <row r="45" spans="2:22">
      <c r="V45" s="62"/>
    </row>
    <row r="46" spans="2:22">
      <c r="V46" s="62"/>
    </row>
    <row r="47" spans="2:22">
      <c r="V47" s="62"/>
    </row>
    <row r="48" spans="2:22">
      <c r="V48" s="62"/>
    </row>
    <row r="49" spans="22:22">
      <c r="V49" s="62"/>
    </row>
    <row r="50" spans="22:22">
      <c r="V50" s="62"/>
    </row>
    <row r="51" spans="22:22">
      <c r="V51" s="62"/>
    </row>
    <row r="52" spans="22:22">
      <c r="V52" s="62"/>
    </row>
    <row r="53" spans="22:22">
      <c r="V53" s="62"/>
    </row>
    <row r="54" spans="22:22">
      <c r="V54" s="62"/>
    </row>
    <row r="55" spans="22:22">
      <c r="V55" s="62"/>
    </row>
    <row r="56" spans="22:22">
      <c r="V56" s="62"/>
    </row>
    <row r="57" spans="22:22">
      <c r="V57" s="62"/>
    </row>
    <row r="58" spans="22:22">
      <c r="V58" s="62"/>
    </row>
    <row r="60" spans="22:22">
      <c r="V60" s="62"/>
    </row>
    <row r="62" spans="22:22">
      <c r="V62" s="62"/>
    </row>
    <row r="64" spans="22:22">
      <c r="V64" s="62"/>
    </row>
    <row r="66" spans="22:22">
      <c r="V66" s="62"/>
    </row>
    <row r="68" spans="22:22">
      <c r="V68" s="62"/>
    </row>
    <row r="70" spans="22:22">
      <c r="V70" s="62"/>
    </row>
    <row r="72" spans="22:22">
      <c r="V72" s="62"/>
    </row>
    <row r="73" spans="22:22">
      <c r="V73" s="3">
        <v>76</v>
      </c>
    </row>
    <row r="74" spans="22:22">
      <c r="V74" s="62">
        <v>77</v>
      </c>
    </row>
    <row r="75" spans="22:22">
      <c r="V75" s="3">
        <v>78</v>
      </c>
    </row>
  </sheetData>
  <sheetProtection password="CCE5" sheet="1" objects="1" scenarios="1" insertRows="0" selectLockedCells="1"/>
  <protectedRanges>
    <protectedRange sqref="E11:H16" name="Folha8"/>
  </protectedRanges>
  <mergeCells count="14">
    <mergeCell ref="C3:E3"/>
    <mergeCell ref="C5:J5"/>
    <mergeCell ref="C4:J4"/>
    <mergeCell ref="E9:F9"/>
    <mergeCell ref="E11:F11"/>
    <mergeCell ref="D22:F22"/>
    <mergeCell ref="D21:E21"/>
    <mergeCell ref="E15:F15"/>
    <mergeCell ref="E16:F16"/>
    <mergeCell ref="G7:J7"/>
    <mergeCell ref="C10:E10"/>
    <mergeCell ref="E12:F12"/>
    <mergeCell ref="E13:F13"/>
    <mergeCell ref="E14:F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W80"/>
  <sheetViews>
    <sheetView showGridLines="0" topLeftCell="A16" zoomScale="85" zoomScaleNormal="85" workbookViewId="0">
      <selection activeCell="E17" sqref="E17"/>
    </sheetView>
  </sheetViews>
  <sheetFormatPr defaultColWidth="9.140625" defaultRowHeight="15"/>
  <cols>
    <col min="1" max="1" width="4.42578125" style="3" customWidth="1"/>
    <col min="2" max="2" width="5.42578125" style="3" customWidth="1"/>
    <col min="3" max="3" width="11.7109375" style="1" customWidth="1"/>
    <col min="4" max="4" width="40.42578125" style="1" customWidth="1"/>
    <col min="5" max="5" width="74" style="3" customWidth="1"/>
    <col min="6" max="6" width="16.85546875" style="3" customWidth="1"/>
    <col min="7" max="8" width="13.5703125" style="3" customWidth="1"/>
    <col min="9" max="9" width="22.140625" style="3" customWidth="1"/>
    <col min="10" max="10" width="6.5703125" style="3" customWidth="1"/>
    <col min="11" max="15" width="15.7109375" style="3" bestFit="1" customWidth="1"/>
    <col min="16" max="16" width="18" style="3" bestFit="1" customWidth="1"/>
    <col min="17" max="17" width="12.85546875" style="3" customWidth="1"/>
    <col min="18" max="18" width="9.140625" style="3"/>
    <col min="19" max="19" width="11.85546875" style="3" customWidth="1"/>
    <col min="20" max="16384" width="9.140625" style="3"/>
  </cols>
  <sheetData>
    <row r="1" spans="2:31" ht="15.75" thickBot="1"/>
    <row r="2" spans="2:31">
      <c r="B2" s="48"/>
      <c r="C2" s="49"/>
      <c r="D2" s="49"/>
      <c r="E2" s="7"/>
      <c r="F2" s="7"/>
      <c r="G2" s="7"/>
      <c r="H2" s="7"/>
      <c r="I2" s="7"/>
      <c r="J2" s="8"/>
    </row>
    <row r="3" spans="2:31" ht="21">
      <c r="B3" s="15"/>
      <c r="C3" s="805" t="s">
        <v>167</v>
      </c>
      <c r="D3" s="805"/>
      <c r="E3" s="805"/>
      <c r="F3" s="11"/>
      <c r="G3" s="11"/>
      <c r="H3" s="11"/>
      <c r="I3" s="11"/>
      <c r="J3" s="12"/>
    </row>
    <row r="4" spans="2:31" ht="35.25" customHeight="1">
      <c r="B4" s="15"/>
      <c r="C4" s="844" t="s">
        <v>270</v>
      </c>
      <c r="D4" s="844"/>
      <c r="E4" s="844"/>
      <c r="F4" s="844"/>
      <c r="G4" s="844"/>
      <c r="H4" s="11"/>
      <c r="I4" s="11"/>
      <c r="J4" s="12"/>
    </row>
    <row r="5" spans="2:31" ht="10.5" customHeight="1">
      <c r="B5" s="15"/>
      <c r="C5" s="821"/>
      <c r="D5" s="821"/>
      <c r="E5" s="821"/>
      <c r="F5" s="821"/>
      <c r="G5" s="821"/>
      <c r="H5" s="821"/>
      <c r="I5" s="821"/>
      <c r="J5" s="12"/>
      <c r="Z5" s="122"/>
      <c r="AA5" s="122"/>
      <c r="AB5" s="122"/>
      <c r="AC5" s="122"/>
      <c r="AD5" s="122"/>
      <c r="AE5" s="122"/>
    </row>
    <row r="6" spans="2:31" ht="18.75">
      <c r="B6" s="15"/>
      <c r="C6" s="840" t="s">
        <v>172</v>
      </c>
      <c r="D6" s="840"/>
      <c r="E6" s="840"/>
      <c r="F6" s="840"/>
      <c r="G6" s="840"/>
      <c r="H6" s="840"/>
      <c r="I6" s="840"/>
      <c r="J6" s="12"/>
      <c r="Z6" s="122"/>
      <c r="AA6" s="122"/>
      <c r="AB6" s="122"/>
      <c r="AC6" s="122"/>
      <c r="AD6" s="122"/>
      <c r="AE6" s="122"/>
    </row>
    <row r="7" spans="2:31" ht="15.75" thickBot="1">
      <c r="B7" s="15"/>
      <c r="C7" s="11"/>
      <c r="D7" s="11"/>
      <c r="E7" s="11"/>
      <c r="F7" s="11"/>
      <c r="G7" s="11"/>
      <c r="H7" s="11"/>
      <c r="I7" s="11"/>
      <c r="J7" s="12"/>
      <c r="Z7" s="122"/>
      <c r="AA7" s="122"/>
      <c r="AB7" s="122"/>
      <c r="AC7" s="122"/>
      <c r="AD7" s="122"/>
      <c r="AE7" s="122"/>
    </row>
    <row r="8" spans="2:31" s="55" customFormat="1">
      <c r="B8" s="51"/>
      <c r="C8" s="52"/>
      <c r="D8" s="52"/>
      <c r="E8" s="53"/>
      <c r="F8" s="837" t="s">
        <v>0</v>
      </c>
      <c r="G8" s="838"/>
      <c r="H8" s="838"/>
      <c r="I8" s="839"/>
      <c r="J8" s="110"/>
      <c r="Z8" s="122"/>
      <c r="AA8" s="122"/>
      <c r="AB8" s="122"/>
      <c r="AC8" s="122"/>
      <c r="AD8" s="122"/>
      <c r="AE8" s="122"/>
    </row>
    <row r="9" spans="2:31" s="62" customFormat="1" ht="51.75" customHeight="1" thickBot="1">
      <c r="B9" s="56"/>
      <c r="C9" s="57"/>
      <c r="D9" s="57"/>
      <c r="E9" s="58"/>
      <c r="F9" s="281" t="s">
        <v>93</v>
      </c>
      <c r="G9" s="282" t="s">
        <v>53</v>
      </c>
      <c r="H9" s="551" t="s">
        <v>216</v>
      </c>
      <c r="I9" s="552" t="s">
        <v>217</v>
      </c>
      <c r="J9" s="54"/>
      <c r="Z9" s="122"/>
      <c r="AA9" s="122"/>
      <c r="AB9" s="122"/>
      <c r="AC9" s="122"/>
      <c r="AD9" s="122"/>
      <c r="AE9" s="122"/>
    </row>
    <row r="10" spans="2:31" s="62" customFormat="1" ht="63" customHeight="1" thickBot="1">
      <c r="B10" s="56"/>
      <c r="C10" s="114" t="s">
        <v>170</v>
      </c>
      <c r="D10" s="592" t="s">
        <v>173</v>
      </c>
      <c r="E10" s="593" t="s">
        <v>171</v>
      </c>
      <c r="F10" s="116" t="s">
        <v>47</v>
      </c>
      <c r="G10" s="117" t="s">
        <v>47</v>
      </c>
      <c r="H10" s="115" t="s">
        <v>47</v>
      </c>
      <c r="I10" s="594" t="s">
        <v>47</v>
      </c>
      <c r="J10" s="54"/>
      <c r="Z10" s="122"/>
      <c r="AA10" s="122"/>
      <c r="AB10" s="122"/>
      <c r="AC10" s="122"/>
      <c r="AD10" s="122"/>
      <c r="AE10" s="122"/>
    </row>
    <row r="11" spans="2:31" ht="32.25" customHeight="1">
      <c r="B11" s="15"/>
      <c r="C11" s="120">
        <v>1</v>
      </c>
      <c r="D11" s="588"/>
      <c r="E11" s="589"/>
      <c r="F11" s="590"/>
      <c r="G11" s="418"/>
      <c r="H11" s="471">
        <f>IF(F11="",0,IF(F11=0,F11+G11,F11+G11-I11*(1+G11/F11)))</f>
        <v>0</v>
      </c>
      <c r="I11" s="591">
        <v>0</v>
      </c>
      <c r="J11" s="12"/>
      <c r="Z11" s="122"/>
      <c r="AA11" s="122"/>
      <c r="AB11" s="122"/>
      <c r="AC11" s="122"/>
      <c r="AD11" s="122"/>
      <c r="AE11" s="122"/>
    </row>
    <row r="12" spans="2:31" ht="32.25" customHeight="1">
      <c r="B12" s="15"/>
      <c r="C12" s="74">
        <v>2</v>
      </c>
      <c r="D12" s="419"/>
      <c r="E12" s="421"/>
      <c r="F12" s="410"/>
      <c r="G12" s="405"/>
      <c r="H12" s="397">
        <f t="shared" ref="H12:H20" si="0">IF(F12="",0,IF(F12=0,F12+G12,F12+G12-I12*(1+G12/F12)))</f>
        <v>0</v>
      </c>
      <c r="I12" s="550">
        <v>0</v>
      </c>
      <c r="J12" s="12"/>
      <c r="Z12" s="122"/>
      <c r="AA12" s="122"/>
      <c r="AB12" s="122"/>
      <c r="AC12" s="122"/>
      <c r="AD12" s="122"/>
      <c r="AE12" s="122"/>
    </row>
    <row r="13" spans="2:31" ht="32.25" customHeight="1">
      <c r="B13" s="15"/>
      <c r="C13" s="74">
        <v>3</v>
      </c>
      <c r="D13" s="419"/>
      <c r="E13" s="421"/>
      <c r="F13" s="410"/>
      <c r="G13" s="405"/>
      <c r="H13" s="397">
        <f t="shared" si="0"/>
        <v>0</v>
      </c>
      <c r="I13" s="550">
        <v>0</v>
      </c>
      <c r="J13" s="12"/>
      <c r="Z13" s="122"/>
      <c r="AA13" s="122"/>
      <c r="AB13" s="122"/>
      <c r="AC13" s="122"/>
      <c r="AD13" s="122"/>
      <c r="AE13" s="122"/>
    </row>
    <row r="14" spans="2:31" ht="32.25" customHeight="1">
      <c r="B14" s="15"/>
      <c r="C14" s="74">
        <v>4</v>
      </c>
      <c r="D14" s="419"/>
      <c r="E14" s="421"/>
      <c r="F14" s="410"/>
      <c r="G14" s="405"/>
      <c r="H14" s="397">
        <f t="shared" si="0"/>
        <v>0</v>
      </c>
      <c r="I14" s="550">
        <v>0</v>
      </c>
      <c r="J14" s="12"/>
      <c r="Z14" s="122"/>
      <c r="AA14" s="122"/>
      <c r="AB14" s="122"/>
      <c r="AC14" s="122"/>
      <c r="AD14" s="122"/>
      <c r="AE14" s="122"/>
    </row>
    <row r="15" spans="2:31" ht="32.25" customHeight="1">
      <c r="B15" s="15"/>
      <c r="C15" s="74">
        <v>5</v>
      </c>
      <c r="D15" s="419"/>
      <c r="E15" s="421"/>
      <c r="F15" s="410"/>
      <c r="G15" s="405"/>
      <c r="H15" s="397">
        <f t="shared" si="0"/>
        <v>0</v>
      </c>
      <c r="I15" s="550">
        <v>0</v>
      </c>
      <c r="J15" s="12"/>
      <c r="Z15" s="122"/>
      <c r="AA15" s="122"/>
      <c r="AB15" s="122"/>
      <c r="AC15" s="122"/>
      <c r="AD15" s="122"/>
      <c r="AE15" s="122"/>
    </row>
    <row r="16" spans="2:31" ht="32.25" customHeight="1">
      <c r="B16" s="15"/>
      <c r="C16" s="74">
        <v>6</v>
      </c>
      <c r="D16" s="419"/>
      <c r="E16" s="421"/>
      <c r="F16" s="410"/>
      <c r="G16" s="405"/>
      <c r="H16" s="397">
        <f t="shared" si="0"/>
        <v>0</v>
      </c>
      <c r="I16" s="550">
        <v>0</v>
      </c>
      <c r="J16" s="12"/>
      <c r="Z16" s="122"/>
      <c r="AA16" s="122"/>
      <c r="AB16" s="122"/>
      <c r="AC16" s="122"/>
      <c r="AD16" s="122"/>
      <c r="AE16" s="122"/>
    </row>
    <row r="17" spans="2:49" ht="32.25" customHeight="1">
      <c r="B17" s="15"/>
      <c r="C17" s="74">
        <v>7</v>
      </c>
      <c r="D17" s="419"/>
      <c r="E17" s="421"/>
      <c r="F17" s="410"/>
      <c r="G17" s="405"/>
      <c r="H17" s="397">
        <f t="shared" si="0"/>
        <v>0</v>
      </c>
      <c r="I17" s="550">
        <v>0</v>
      </c>
      <c r="J17" s="12"/>
      <c r="Z17" s="122"/>
      <c r="AA17" s="122"/>
      <c r="AB17" s="122"/>
      <c r="AC17" s="122"/>
      <c r="AD17" s="122"/>
      <c r="AE17" s="122"/>
    </row>
    <row r="18" spans="2:49" ht="32.25" customHeight="1">
      <c r="B18" s="15"/>
      <c r="C18" s="74">
        <v>8</v>
      </c>
      <c r="D18" s="419"/>
      <c r="E18" s="421"/>
      <c r="F18" s="422"/>
      <c r="G18" s="405"/>
      <c r="H18" s="397">
        <f t="shared" si="0"/>
        <v>0</v>
      </c>
      <c r="I18" s="550">
        <v>0</v>
      </c>
      <c r="J18" s="12"/>
      <c r="Z18" s="122"/>
      <c r="AA18" s="122"/>
      <c r="AB18" s="122"/>
      <c r="AC18" s="122"/>
      <c r="AD18" s="122"/>
      <c r="AE18" s="122"/>
    </row>
    <row r="19" spans="2:49" ht="32.25" customHeight="1">
      <c r="B19" s="15"/>
      <c r="C19" s="74">
        <v>9</v>
      </c>
      <c r="D19" s="419"/>
      <c r="E19" s="421"/>
      <c r="F19" s="422"/>
      <c r="G19" s="405"/>
      <c r="H19" s="397">
        <f t="shared" si="0"/>
        <v>0</v>
      </c>
      <c r="I19" s="550">
        <v>0</v>
      </c>
      <c r="J19" s="12"/>
      <c r="Z19" s="122"/>
      <c r="AA19" s="122"/>
      <c r="AB19" s="122"/>
      <c r="AC19" s="122"/>
      <c r="AD19" s="122"/>
      <c r="AE19" s="122"/>
    </row>
    <row r="20" spans="2:49" ht="32.25" customHeight="1" thickBot="1">
      <c r="B20" s="15"/>
      <c r="C20" s="78">
        <v>10</v>
      </c>
      <c r="D20" s="420"/>
      <c r="E20" s="423"/>
      <c r="F20" s="558"/>
      <c r="G20" s="417"/>
      <c r="H20" s="470">
        <f t="shared" si="0"/>
        <v>0</v>
      </c>
      <c r="I20" s="550">
        <v>0</v>
      </c>
      <c r="J20" s="12"/>
      <c r="Z20" s="122"/>
      <c r="AA20" s="122"/>
      <c r="AB20" s="122"/>
      <c r="AC20" s="122"/>
      <c r="AD20" s="122"/>
      <c r="AE20" s="122"/>
    </row>
    <row r="21" spans="2:49" thickBot="1">
      <c r="B21" s="15"/>
      <c r="C21" s="20"/>
      <c r="D21" s="20"/>
      <c r="E21" s="11"/>
      <c r="F21" s="537">
        <f>SUM(F11:F20)</f>
        <v>0</v>
      </c>
      <c r="G21" s="537">
        <f>SUM(G11:G20)</f>
        <v>0</v>
      </c>
      <c r="H21" s="537">
        <f>SUM(H11:H20)</f>
        <v>0</v>
      </c>
      <c r="I21" s="537">
        <f>SUM(I11:I20)</f>
        <v>0</v>
      </c>
      <c r="J21" s="12"/>
      <c r="AA21" s="4"/>
    </row>
    <row r="22" spans="2:49" thickBot="1">
      <c r="B22" s="15"/>
      <c r="C22" s="20"/>
      <c r="D22" s="20"/>
      <c r="E22" s="11"/>
      <c r="F22" s="283"/>
      <c r="G22" s="283"/>
      <c r="H22" s="283"/>
      <c r="I22" s="283"/>
      <c r="J22" s="12"/>
      <c r="AA22" s="4"/>
    </row>
    <row r="23" spans="2:49" s="1" customFormat="1" ht="24.95" customHeight="1" thickBot="1">
      <c r="B23" s="9"/>
      <c r="C23" s="20"/>
      <c r="E23" s="595" t="s">
        <v>168</v>
      </c>
      <c r="F23" s="451">
        <f>+F21+G21</f>
        <v>0</v>
      </c>
      <c r="G23" s="52"/>
      <c r="H23" s="52"/>
      <c r="I23" s="79"/>
      <c r="J23" s="80"/>
      <c r="AA23" s="45"/>
    </row>
    <row r="24" spans="2:49" ht="24.95" customHeight="1" thickBot="1">
      <c r="B24" s="9"/>
      <c r="C24" s="20"/>
      <c r="D24" s="3"/>
      <c r="E24" s="595" t="s">
        <v>169</v>
      </c>
      <c r="F24" s="451">
        <f>H21</f>
        <v>0</v>
      </c>
      <c r="J24" s="80"/>
      <c r="AU24" s="62" t="e">
        <f>#REF!</f>
        <v>#REF!</v>
      </c>
      <c r="AV24" s="62" t="e">
        <f>#REF!</f>
        <v>#REF!</v>
      </c>
      <c r="AW24" s="62" t="e">
        <f>#REF!</f>
        <v>#REF!</v>
      </c>
    </row>
    <row r="25" spans="2:49" ht="24.95" customHeight="1" thickBot="1">
      <c r="B25" s="9"/>
      <c r="C25" s="20"/>
      <c r="D25" s="3"/>
      <c r="E25" s="596" t="s">
        <v>220</v>
      </c>
      <c r="F25" s="451">
        <f>F23-F24</f>
        <v>0</v>
      </c>
      <c r="J25" s="80"/>
      <c r="AU25" s="62"/>
      <c r="AV25" s="62"/>
      <c r="AW25" s="62"/>
    </row>
    <row r="26" spans="2:49" ht="24.75" customHeight="1" thickBot="1">
      <c r="B26" s="109"/>
      <c r="C26" s="104"/>
      <c r="D26" s="104"/>
      <c r="E26" s="843" t="s">
        <v>249</v>
      </c>
      <c r="F26" s="843"/>
      <c r="G26" s="843"/>
      <c r="H26" s="106"/>
      <c r="I26" s="106"/>
      <c r="J26" s="107"/>
      <c r="K26" s="90"/>
      <c r="L26" s="90"/>
      <c r="M26" s="90"/>
      <c r="N26" s="90"/>
      <c r="O26" s="90"/>
      <c r="P26" s="90"/>
      <c r="R26" s="62"/>
    </row>
    <row r="27" spans="2:49" ht="14.45">
      <c r="R27" s="62"/>
    </row>
    <row r="28" spans="2:49" ht="14.45">
      <c r="B28" s="256"/>
      <c r="C28" s="257"/>
      <c r="D28" s="257"/>
      <c r="E28" s="256"/>
      <c r="F28" s="256"/>
      <c r="G28" s="256"/>
      <c r="H28" s="256"/>
      <c r="I28" s="256"/>
      <c r="J28" s="256"/>
      <c r="R28" s="62"/>
    </row>
    <row r="29" spans="2:49" ht="14.45">
      <c r="B29" s="256"/>
      <c r="C29" s="257"/>
      <c r="D29" s="257"/>
      <c r="E29" s="256"/>
      <c r="F29" s="256"/>
      <c r="G29" s="256"/>
      <c r="H29" s="256"/>
      <c r="I29" s="256"/>
      <c r="J29" s="256"/>
      <c r="R29" s="62"/>
    </row>
    <row r="30" spans="2:49" ht="14.45">
      <c r="B30" s="256"/>
      <c r="C30" s="257"/>
      <c r="D30" s="259"/>
      <c r="E30" s="13"/>
      <c r="F30" s="13"/>
      <c r="G30" s="256"/>
      <c r="H30" s="256"/>
      <c r="I30" s="256"/>
      <c r="J30" s="256"/>
      <c r="R30" s="62"/>
    </row>
    <row r="31" spans="2:49" ht="14.45">
      <c r="B31" s="256"/>
      <c r="C31" s="257"/>
      <c r="D31" s="259"/>
      <c r="E31" s="244">
        <f>+C11</f>
        <v>1</v>
      </c>
      <c r="F31" s="13"/>
      <c r="G31" s="256"/>
      <c r="H31" s="256"/>
      <c r="I31" s="256"/>
      <c r="J31" s="256"/>
      <c r="R31" s="62"/>
    </row>
    <row r="32" spans="2:49" ht="14.45">
      <c r="B32" s="256"/>
      <c r="C32" s="257"/>
      <c r="D32" s="259"/>
      <c r="E32" s="244">
        <f>+C17</f>
        <v>7</v>
      </c>
      <c r="F32" s="13"/>
      <c r="G32" s="256"/>
      <c r="H32" s="256"/>
      <c r="I32" s="256"/>
      <c r="J32" s="256"/>
      <c r="R32" s="62"/>
    </row>
    <row r="33" spans="2:18" ht="14.45">
      <c r="B33" s="256"/>
      <c r="C33" s="257"/>
      <c r="D33" s="257"/>
      <c r="E33" s="258"/>
      <c r="F33" s="256"/>
      <c r="G33" s="256"/>
      <c r="H33" s="256"/>
      <c r="I33" s="256"/>
      <c r="J33" s="256"/>
      <c r="R33" s="62"/>
    </row>
    <row r="34" spans="2:18">
      <c r="B34" s="256"/>
      <c r="C34" s="257"/>
      <c r="D34" s="257"/>
      <c r="E34" s="258"/>
      <c r="F34" s="256"/>
      <c r="G34" s="256"/>
      <c r="H34" s="256"/>
      <c r="I34" s="256"/>
      <c r="J34" s="256"/>
      <c r="R34" s="62"/>
    </row>
    <row r="35" spans="2:18">
      <c r="B35" s="256"/>
      <c r="C35" s="257"/>
      <c r="D35" s="257"/>
      <c r="E35" s="258"/>
      <c r="F35" s="256"/>
      <c r="G35" s="256"/>
      <c r="H35" s="256"/>
      <c r="I35" s="256"/>
      <c r="J35" s="256"/>
      <c r="R35" s="62"/>
    </row>
    <row r="36" spans="2:18">
      <c r="B36" s="256"/>
      <c r="C36" s="257"/>
      <c r="D36" s="257"/>
      <c r="E36" s="256"/>
      <c r="F36" s="256"/>
      <c r="G36" s="256"/>
      <c r="H36" s="256"/>
      <c r="I36" s="256"/>
      <c r="J36" s="256"/>
      <c r="R36" s="62"/>
    </row>
    <row r="37" spans="2:18">
      <c r="B37" s="256"/>
      <c r="C37" s="257"/>
      <c r="D37" s="257"/>
      <c r="E37" s="256"/>
      <c r="F37" s="256"/>
      <c r="G37" s="256"/>
      <c r="H37" s="256"/>
      <c r="I37" s="256"/>
      <c r="J37" s="256"/>
      <c r="R37" s="62"/>
    </row>
    <row r="38" spans="2:18">
      <c r="B38" s="256"/>
      <c r="C38" s="257"/>
      <c r="D38" s="257"/>
      <c r="E38" s="256"/>
      <c r="F38" s="256"/>
      <c r="G38" s="256"/>
      <c r="H38" s="256"/>
      <c r="I38" s="256"/>
      <c r="J38" s="256"/>
      <c r="R38" s="62"/>
    </row>
    <row r="39" spans="2:18">
      <c r="B39" s="256"/>
      <c r="C39" s="257"/>
      <c r="D39" s="257"/>
      <c r="E39" s="256"/>
      <c r="F39" s="256"/>
      <c r="G39" s="256"/>
      <c r="H39" s="256"/>
      <c r="I39" s="256"/>
      <c r="J39" s="256"/>
      <c r="R39" s="62"/>
    </row>
    <row r="40" spans="2:18">
      <c r="B40" s="256"/>
      <c r="C40" s="257"/>
      <c r="D40" s="257"/>
      <c r="E40" s="256"/>
      <c r="F40" s="256"/>
      <c r="G40" s="256"/>
      <c r="H40" s="256"/>
      <c r="I40" s="256"/>
      <c r="J40" s="256"/>
      <c r="R40" s="62"/>
    </row>
    <row r="41" spans="2:18">
      <c r="B41" s="256"/>
      <c r="C41" s="257"/>
      <c r="D41" s="257"/>
      <c r="E41" s="256"/>
      <c r="F41" s="256"/>
      <c r="G41" s="256"/>
      <c r="H41" s="256"/>
      <c r="I41" s="256"/>
      <c r="J41" s="256"/>
      <c r="R41" s="62"/>
    </row>
    <row r="42" spans="2:18">
      <c r="R42" s="62"/>
    </row>
    <row r="43" spans="2:18">
      <c r="R43" s="62"/>
    </row>
    <row r="44" spans="2:18">
      <c r="R44" s="62"/>
    </row>
    <row r="45" spans="2:18">
      <c r="R45" s="62"/>
    </row>
    <row r="46" spans="2:18">
      <c r="R46" s="62"/>
    </row>
    <row r="47" spans="2:18">
      <c r="R47" s="62"/>
    </row>
    <row r="48" spans="2:18">
      <c r="R48" s="62"/>
    </row>
    <row r="49" spans="18:18">
      <c r="R49" s="62"/>
    </row>
    <row r="50" spans="18:18">
      <c r="R50" s="62"/>
    </row>
    <row r="51" spans="18:18">
      <c r="R51" s="62"/>
    </row>
    <row r="52" spans="18:18">
      <c r="R52" s="62"/>
    </row>
    <row r="53" spans="18:18">
      <c r="R53" s="62"/>
    </row>
    <row r="54" spans="18:18">
      <c r="R54" s="62"/>
    </row>
    <row r="55" spans="18:18">
      <c r="R55" s="62"/>
    </row>
    <row r="56" spans="18:18">
      <c r="R56" s="62"/>
    </row>
    <row r="57" spans="18:18">
      <c r="R57" s="62"/>
    </row>
    <row r="58" spans="18:18">
      <c r="R58" s="62"/>
    </row>
    <row r="59" spans="18:18">
      <c r="R59" s="62"/>
    </row>
    <row r="60" spans="18:18">
      <c r="R60" s="62"/>
    </row>
    <row r="61" spans="18:18">
      <c r="R61" s="62"/>
    </row>
    <row r="62" spans="18:18">
      <c r="R62" s="62"/>
    </row>
    <row r="63" spans="18:18">
      <c r="R63" s="62"/>
    </row>
    <row r="65" spans="18:18">
      <c r="R65" s="62"/>
    </row>
    <row r="67" spans="18:18">
      <c r="R67" s="62"/>
    </row>
    <row r="69" spans="18:18">
      <c r="R69" s="62"/>
    </row>
    <row r="71" spans="18:18">
      <c r="R71" s="62"/>
    </row>
    <row r="73" spans="18:18">
      <c r="R73" s="62"/>
    </row>
    <row r="75" spans="18:18">
      <c r="R75" s="62"/>
    </row>
    <row r="77" spans="18:18">
      <c r="R77" s="62"/>
    </row>
    <row r="78" spans="18:18">
      <c r="R78" s="3">
        <v>76</v>
      </c>
    </row>
    <row r="79" spans="18:18">
      <c r="R79" s="62">
        <v>77</v>
      </c>
    </row>
    <row r="80" spans="18:18">
      <c r="R80" s="3">
        <v>78</v>
      </c>
    </row>
  </sheetData>
  <sheetProtection password="CCE5" sheet="1" objects="1" scenarios="1" insertRows="0" selectLockedCells="1"/>
  <protectedRanges>
    <protectedRange sqref="E11:G20" name="Folha8"/>
  </protectedRanges>
  <mergeCells count="6">
    <mergeCell ref="E26:G26"/>
    <mergeCell ref="C3:E3"/>
    <mergeCell ref="C5:I5"/>
    <mergeCell ref="C6:I6"/>
    <mergeCell ref="F8:I8"/>
    <mergeCell ref="C4:G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/>
  <dimension ref="A1:AD65"/>
  <sheetViews>
    <sheetView showGridLines="0" topLeftCell="A42" zoomScale="85" zoomScaleNormal="85" workbookViewId="0">
      <selection activeCell="E42" sqref="E42"/>
    </sheetView>
  </sheetViews>
  <sheetFormatPr defaultColWidth="9.140625" defaultRowHeight="15"/>
  <cols>
    <col min="1" max="1" width="9.140625" style="124"/>
    <col min="2" max="2" width="6.7109375" style="124" customWidth="1"/>
    <col min="3" max="3" width="32.7109375" style="124" customWidth="1"/>
    <col min="4" max="4" width="27" style="124" customWidth="1"/>
    <col min="5" max="5" width="18.5703125" style="124" customWidth="1"/>
    <col min="6" max="6" width="18.7109375" style="124" customWidth="1"/>
    <col min="7" max="7" width="18.5703125" style="124" customWidth="1"/>
    <col min="8" max="28" width="13.7109375" style="124" customWidth="1"/>
    <col min="29" max="29" width="16.85546875" style="124" customWidth="1"/>
    <col min="30" max="30" width="14" style="124" customWidth="1"/>
    <col min="31" max="16384" width="9.140625" style="124"/>
  </cols>
  <sheetData>
    <row r="1" spans="2:30" ht="15.75" thickBot="1"/>
    <row r="2" spans="2:30" ht="20.25" customHeight="1" thickBot="1">
      <c r="D2" s="846" t="s">
        <v>61</v>
      </c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  <c r="V2" s="847"/>
      <c r="W2" s="847"/>
      <c r="X2" s="847"/>
      <c r="Y2" s="847"/>
      <c r="Z2" s="847"/>
      <c r="AA2" s="847"/>
      <c r="AB2" s="847"/>
      <c r="AC2" s="848"/>
    </row>
    <row r="3" spans="2:30" s="111" customFormat="1" ht="19.5" customHeight="1" thickBot="1">
      <c r="C3" s="124"/>
      <c r="D3" s="81" t="s">
        <v>22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315"/>
    </row>
    <row r="4" spans="2:30" ht="15.75" thickBot="1">
      <c r="B4" s="83"/>
      <c r="C4" s="125" t="s">
        <v>71</v>
      </c>
      <c r="D4" s="126">
        <v>1</v>
      </c>
      <c r="E4" s="126">
        <v>2</v>
      </c>
      <c r="F4" s="126">
        <v>3</v>
      </c>
      <c r="G4" s="126">
        <v>4</v>
      </c>
      <c r="H4" s="126">
        <v>5</v>
      </c>
      <c r="I4" s="126">
        <v>6</v>
      </c>
      <c r="J4" s="126">
        <v>7</v>
      </c>
      <c r="K4" s="126">
        <v>8</v>
      </c>
      <c r="L4" s="126">
        <v>9</v>
      </c>
      <c r="M4" s="126">
        <v>10</v>
      </c>
      <c r="N4" s="126">
        <v>11</v>
      </c>
      <c r="O4" s="126">
        <v>12</v>
      </c>
      <c r="P4" s="126">
        <v>13</v>
      </c>
      <c r="Q4" s="126">
        <v>14</v>
      </c>
      <c r="R4" s="126">
        <v>15</v>
      </c>
      <c r="S4" s="126">
        <v>16</v>
      </c>
      <c r="T4" s="126">
        <v>17</v>
      </c>
      <c r="U4" s="126">
        <v>18</v>
      </c>
      <c r="V4" s="126">
        <v>19</v>
      </c>
      <c r="W4" s="126">
        <v>20</v>
      </c>
      <c r="X4" s="126">
        <v>21</v>
      </c>
      <c r="Y4" s="126">
        <v>22</v>
      </c>
      <c r="Z4" s="126">
        <v>23</v>
      </c>
      <c r="AA4" s="126">
        <v>24</v>
      </c>
      <c r="AB4" s="126">
        <v>25</v>
      </c>
      <c r="AC4" s="126" t="s">
        <v>34</v>
      </c>
      <c r="AD4" s="864" t="s">
        <v>60</v>
      </c>
    </row>
    <row r="5" spans="2:30" s="134" customFormat="1" ht="15" customHeight="1" thickBot="1">
      <c r="B5" s="127"/>
      <c r="C5" s="94"/>
      <c r="D5" s="128"/>
      <c r="E5" s="129"/>
      <c r="F5" s="129"/>
      <c r="G5" s="129"/>
      <c r="H5" s="129"/>
      <c r="I5" s="129"/>
      <c r="J5" s="129"/>
      <c r="K5" s="129"/>
      <c r="L5" s="130"/>
      <c r="M5" s="131"/>
      <c r="N5" s="128"/>
      <c r="O5" s="129"/>
      <c r="P5" s="129"/>
      <c r="Q5" s="129"/>
      <c r="R5" s="129"/>
      <c r="S5" s="129"/>
      <c r="T5" s="129"/>
      <c r="U5" s="129"/>
      <c r="V5" s="130"/>
      <c r="W5" s="131"/>
      <c r="X5" s="131"/>
      <c r="Y5" s="131"/>
      <c r="Z5" s="131"/>
      <c r="AA5" s="131"/>
      <c r="AB5" s="132"/>
      <c r="AC5" s="133"/>
      <c r="AD5" s="864"/>
    </row>
    <row r="6" spans="2:30" ht="15.75" thickBot="1">
      <c r="B6" s="127"/>
      <c r="C6" s="135" t="s">
        <v>124</v>
      </c>
      <c r="D6" s="280">
        <f>'2. Medidas c)'!J49</f>
        <v>0</v>
      </c>
      <c r="E6" s="280">
        <f>'2. Medidas c)'!K49</f>
        <v>0</v>
      </c>
      <c r="F6" s="280">
        <f>'2. Medidas c)'!L49</f>
        <v>0</v>
      </c>
      <c r="G6" s="280">
        <f>'2. Medidas c)'!M49</f>
        <v>0</v>
      </c>
      <c r="H6" s="280">
        <f>'2. Medidas c)'!N49</f>
        <v>0</v>
      </c>
      <c r="I6" s="280">
        <f>'2. Medidas c)'!O49</f>
        <v>0</v>
      </c>
      <c r="J6" s="280">
        <f>'2. Medidas c)'!P49</f>
        <v>0</v>
      </c>
      <c r="K6" s="280">
        <f>'2. Medidas c)'!Q49</f>
        <v>0</v>
      </c>
      <c r="L6" s="280">
        <f>'2. Medidas c)'!R49</f>
        <v>0</v>
      </c>
      <c r="M6" s="280">
        <f>'2. Medidas c)'!S49</f>
        <v>0</v>
      </c>
      <c r="N6" s="280">
        <f>'2. Medidas c)'!T49</f>
        <v>0</v>
      </c>
      <c r="O6" s="280">
        <f>'2. Medidas c)'!U49</f>
        <v>0</v>
      </c>
      <c r="P6" s="280">
        <f>'2. Medidas c)'!V49</f>
        <v>0</v>
      </c>
      <c r="Q6" s="280">
        <f>'2. Medidas c)'!W49</f>
        <v>0</v>
      </c>
      <c r="R6" s="280">
        <f>'2. Medidas c)'!X49</f>
        <v>0</v>
      </c>
      <c r="S6" s="280">
        <f>'2. Medidas c)'!Y49</f>
        <v>0</v>
      </c>
      <c r="T6" s="280">
        <f>'2. Medidas c)'!Z49</f>
        <v>0</v>
      </c>
      <c r="U6" s="280">
        <f>'2. Medidas c)'!AA49</f>
        <v>0</v>
      </c>
      <c r="V6" s="280">
        <f>'2. Medidas c)'!AB49</f>
        <v>0</v>
      </c>
      <c r="W6" s="280">
        <f>'2. Medidas c)'!AC49</f>
        <v>0</v>
      </c>
      <c r="X6" s="280">
        <f>'2. Medidas c)'!AD49</f>
        <v>0</v>
      </c>
      <c r="Y6" s="280">
        <f>'2. Medidas c)'!AE49</f>
        <v>0</v>
      </c>
      <c r="Z6" s="280">
        <f>'2. Medidas c)'!AF49</f>
        <v>0</v>
      </c>
      <c r="AA6" s="280">
        <f>'2. Medidas c)'!AG49</f>
        <v>0</v>
      </c>
      <c r="AB6" s="280">
        <f>'2. Medidas c)'!AH49</f>
        <v>0</v>
      </c>
      <c r="AC6" s="137">
        <f t="shared" ref="AC6:AC8" si="0">SUM(D6:AB6)</f>
        <v>0</v>
      </c>
      <c r="AD6" s="136">
        <f t="shared" ref="AD6" si="1">COUNTIF(D6:AB6,"&lt;&gt;0")</f>
        <v>0</v>
      </c>
    </row>
    <row r="7" spans="2:30" ht="15" customHeight="1" thickBot="1">
      <c r="B7" s="127"/>
      <c r="C7" s="138" t="s">
        <v>94</v>
      </c>
      <c r="D7" s="139">
        <f t="shared" ref="D7:AB7" si="2">SUM(D6:D6)</f>
        <v>0</v>
      </c>
      <c r="E7" s="139">
        <f t="shared" si="2"/>
        <v>0</v>
      </c>
      <c r="F7" s="139">
        <f t="shared" si="2"/>
        <v>0</v>
      </c>
      <c r="G7" s="139">
        <f t="shared" si="2"/>
        <v>0</v>
      </c>
      <c r="H7" s="139">
        <f t="shared" si="2"/>
        <v>0</v>
      </c>
      <c r="I7" s="139">
        <f t="shared" si="2"/>
        <v>0</v>
      </c>
      <c r="J7" s="139">
        <f t="shared" si="2"/>
        <v>0</v>
      </c>
      <c r="K7" s="139">
        <f t="shared" si="2"/>
        <v>0</v>
      </c>
      <c r="L7" s="139">
        <f t="shared" si="2"/>
        <v>0</v>
      </c>
      <c r="M7" s="139">
        <f t="shared" si="2"/>
        <v>0</v>
      </c>
      <c r="N7" s="139">
        <f t="shared" si="2"/>
        <v>0</v>
      </c>
      <c r="O7" s="139">
        <f t="shared" si="2"/>
        <v>0</v>
      </c>
      <c r="P7" s="139">
        <f t="shared" si="2"/>
        <v>0</v>
      </c>
      <c r="Q7" s="139">
        <f t="shared" si="2"/>
        <v>0</v>
      </c>
      <c r="R7" s="139">
        <f t="shared" si="2"/>
        <v>0</v>
      </c>
      <c r="S7" s="139">
        <f t="shared" si="2"/>
        <v>0</v>
      </c>
      <c r="T7" s="139">
        <f t="shared" si="2"/>
        <v>0</v>
      </c>
      <c r="U7" s="139">
        <f t="shared" si="2"/>
        <v>0</v>
      </c>
      <c r="V7" s="139">
        <f t="shared" si="2"/>
        <v>0</v>
      </c>
      <c r="W7" s="139">
        <f t="shared" si="2"/>
        <v>0</v>
      </c>
      <c r="X7" s="139">
        <f t="shared" si="2"/>
        <v>0</v>
      </c>
      <c r="Y7" s="139">
        <f t="shared" si="2"/>
        <v>0</v>
      </c>
      <c r="Z7" s="139">
        <f t="shared" si="2"/>
        <v>0</v>
      </c>
      <c r="AA7" s="139">
        <f t="shared" si="2"/>
        <v>0</v>
      </c>
      <c r="AB7" s="139">
        <f t="shared" si="2"/>
        <v>0</v>
      </c>
      <c r="AC7" s="387">
        <f t="shared" si="0"/>
        <v>0</v>
      </c>
    </row>
    <row r="8" spans="2:30" s="143" customFormat="1" ht="15" customHeight="1" thickBot="1">
      <c r="B8" s="140"/>
      <c r="C8" s="141" t="s">
        <v>36</v>
      </c>
      <c r="D8" s="142">
        <f>D7</f>
        <v>0</v>
      </c>
      <c r="E8" s="142">
        <f>E7+D8</f>
        <v>0</v>
      </c>
      <c r="F8" s="142">
        <f t="shared" ref="F8:AB8" si="3">F7+E8</f>
        <v>0</v>
      </c>
      <c r="G8" s="142">
        <f t="shared" si="3"/>
        <v>0</v>
      </c>
      <c r="H8" s="142">
        <f t="shared" si="3"/>
        <v>0</v>
      </c>
      <c r="I8" s="142">
        <f t="shared" si="3"/>
        <v>0</v>
      </c>
      <c r="J8" s="142">
        <f t="shared" si="3"/>
        <v>0</v>
      </c>
      <c r="K8" s="142">
        <f t="shared" si="3"/>
        <v>0</v>
      </c>
      <c r="L8" s="142">
        <f t="shared" si="3"/>
        <v>0</v>
      </c>
      <c r="M8" s="142">
        <f t="shared" si="3"/>
        <v>0</v>
      </c>
      <c r="N8" s="142">
        <f t="shared" si="3"/>
        <v>0</v>
      </c>
      <c r="O8" s="142">
        <f t="shared" si="3"/>
        <v>0</v>
      </c>
      <c r="P8" s="142">
        <f t="shared" si="3"/>
        <v>0</v>
      </c>
      <c r="Q8" s="142">
        <f t="shared" si="3"/>
        <v>0</v>
      </c>
      <c r="R8" s="142">
        <f t="shared" si="3"/>
        <v>0</v>
      </c>
      <c r="S8" s="142">
        <f t="shared" si="3"/>
        <v>0</v>
      </c>
      <c r="T8" s="142">
        <f t="shared" si="3"/>
        <v>0</v>
      </c>
      <c r="U8" s="142">
        <f t="shared" si="3"/>
        <v>0</v>
      </c>
      <c r="V8" s="142">
        <f t="shared" si="3"/>
        <v>0</v>
      </c>
      <c r="W8" s="142">
        <f t="shared" si="3"/>
        <v>0</v>
      </c>
      <c r="X8" s="142">
        <f t="shared" si="3"/>
        <v>0</v>
      </c>
      <c r="Y8" s="142">
        <f t="shared" si="3"/>
        <v>0</v>
      </c>
      <c r="Z8" s="142">
        <f t="shared" si="3"/>
        <v>0</v>
      </c>
      <c r="AA8" s="142">
        <f>AA7+Z8</f>
        <v>0</v>
      </c>
      <c r="AB8" s="142">
        <f t="shared" si="3"/>
        <v>0</v>
      </c>
      <c r="AC8" s="387">
        <f t="shared" si="0"/>
        <v>0</v>
      </c>
    </row>
    <row r="9" spans="2:30" s="111" customFormat="1" ht="45.75" hidden="1" thickBot="1">
      <c r="B9" s="9"/>
      <c r="C9" s="144" t="s">
        <v>62</v>
      </c>
      <c r="D9" s="145">
        <f t="shared" ref="D9:AB9" si="4">IF(D7=0,0,$D$53*0.7)</f>
        <v>0</v>
      </c>
      <c r="E9" s="145">
        <f t="shared" si="4"/>
        <v>0</v>
      </c>
      <c r="F9" s="145">
        <f t="shared" si="4"/>
        <v>0</v>
      </c>
      <c r="G9" s="145">
        <f t="shared" si="4"/>
        <v>0</v>
      </c>
      <c r="H9" s="145">
        <f t="shared" si="4"/>
        <v>0</v>
      </c>
      <c r="I9" s="145">
        <f t="shared" si="4"/>
        <v>0</v>
      </c>
      <c r="J9" s="145">
        <f t="shared" si="4"/>
        <v>0</v>
      </c>
      <c r="K9" s="145">
        <f t="shared" si="4"/>
        <v>0</v>
      </c>
      <c r="L9" s="145">
        <f t="shared" si="4"/>
        <v>0</v>
      </c>
      <c r="M9" s="145">
        <f t="shared" si="4"/>
        <v>0</v>
      </c>
      <c r="N9" s="145">
        <f t="shared" si="4"/>
        <v>0</v>
      </c>
      <c r="O9" s="145">
        <f t="shared" si="4"/>
        <v>0</v>
      </c>
      <c r="P9" s="145">
        <f t="shared" si="4"/>
        <v>0</v>
      </c>
      <c r="Q9" s="145">
        <f t="shared" si="4"/>
        <v>0</v>
      </c>
      <c r="R9" s="145">
        <f t="shared" si="4"/>
        <v>0</v>
      </c>
      <c r="S9" s="145">
        <f t="shared" si="4"/>
        <v>0</v>
      </c>
      <c r="T9" s="145">
        <f t="shared" si="4"/>
        <v>0</v>
      </c>
      <c r="U9" s="145">
        <f t="shared" si="4"/>
        <v>0</v>
      </c>
      <c r="V9" s="145">
        <f t="shared" si="4"/>
        <v>0</v>
      </c>
      <c r="W9" s="145">
        <f t="shared" si="4"/>
        <v>0</v>
      </c>
      <c r="X9" s="145">
        <f t="shared" si="4"/>
        <v>0</v>
      </c>
      <c r="Y9" s="145">
        <f t="shared" si="4"/>
        <v>0</v>
      </c>
      <c r="Z9" s="145">
        <f t="shared" si="4"/>
        <v>0</v>
      </c>
      <c r="AA9" s="145">
        <f t="shared" si="4"/>
        <v>0</v>
      </c>
      <c r="AB9" s="145">
        <f t="shared" si="4"/>
        <v>0</v>
      </c>
      <c r="AC9" s="146">
        <f>SUM(D9:AB9)</f>
        <v>0</v>
      </c>
    </row>
    <row r="10" spans="2:30" s="151" customFormat="1" ht="15" hidden="1" customHeight="1" thickBot="1">
      <c r="B10" s="147"/>
      <c r="C10" s="148" t="s">
        <v>36</v>
      </c>
      <c r="D10" s="149">
        <f>D9</f>
        <v>0</v>
      </c>
      <c r="E10" s="149">
        <f>IF(E9="Não Elegível","Não Elegível",E9+D10)</f>
        <v>0</v>
      </c>
      <c r="F10" s="149">
        <f t="shared" ref="F10:AB10" si="5">IF(F9="Não Elegível","Não Elegível",F9+E10)</f>
        <v>0</v>
      </c>
      <c r="G10" s="149">
        <f t="shared" si="5"/>
        <v>0</v>
      </c>
      <c r="H10" s="149">
        <f t="shared" si="5"/>
        <v>0</v>
      </c>
      <c r="I10" s="149">
        <f t="shared" si="5"/>
        <v>0</v>
      </c>
      <c r="J10" s="149">
        <f t="shared" si="5"/>
        <v>0</v>
      </c>
      <c r="K10" s="149">
        <f t="shared" si="5"/>
        <v>0</v>
      </c>
      <c r="L10" s="149">
        <f t="shared" si="5"/>
        <v>0</v>
      </c>
      <c r="M10" s="149">
        <f t="shared" si="5"/>
        <v>0</v>
      </c>
      <c r="N10" s="149">
        <f t="shared" si="5"/>
        <v>0</v>
      </c>
      <c r="O10" s="149">
        <f t="shared" si="5"/>
        <v>0</v>
      </c>
      <c r="P10" s="149">
        <f t="shared" si="5"/>
        <v>0</v>
      </c>
      <c r="Q10" s="149">
        <f t="shared" si="5"/>
        <v>0</v>
      </c>
      <c r="R10" s="149">
        <f t="shared" si="5"/>
        <v>0</v>
      </c>
      <c r="S10" s="149">
        <f t="shared" si="5"/>
        <v>0</v>
      </c>
      <c r="T10" s="149">
        <f t="shared" si="5"/>
        <v>0</v>
      </c>
      <c r="U10" s="149">
        <f t="shared" si="5"/>
        <v>0</v>
      </c>
      <c r="V10" s="149">
        <f t="shared" si="5"/>
        <v>0</v>
      </c>
      <c r="W10" s="149">
        <f t="shared" si="5"/>
        <v>0</v>
      </c>
      <c r="X10" s="149">
        <f t="shared" si="5"/>
        <v>0</v>
      </c>
      <c r="Y10" s="149">
        <f t="shared" si="5"/>
        <v>0</v>
      </c>
      <c r="Z10" s="149">
        <f t="shared" si="5"/>
        <v>0</v>
      </c>
      <c r="AA10" s="149">
        <f t="shared" si="5"/>
        <v>0</v>
      </c>
      <c r="AB10" s="149">
        <f t="shared" si="5"/>
        <v>0</v>
      </c>
      <c r="AC10" s="150"/>
    </row>
    <row r="11" spans="2:30" ht="15" hidden="1" customHeight="1" thickBot="1">
      <c r="B11" s="127"/>
      <c r="C11" s="94"/>
      <c r="D11" s="93">
        <f t="shared" ref="D11:AB11" si="6">IF(D10&gt;$G$45,1,0)</f>
        <v>0</v>
      </c>
      <c r="E11" s="93">
        <f t="shared" si="6"/>
        <v>0</v>
      </c>
      <c r="F11" s="93">
        <f t="shared" si="6"/>
        <v>0</v>
      </c>
      <c r="G11" s="93">
        <f t="shared" si="6"/>
        <v>0</v>
      </c>
      <c r="H11" s="93">
        <f t="shared" si="6"/>
        <v>0</v>
      </c>
      <c r="I11" s="93">
        <f t="shared" si="6"/>
        <v>0</v>
      </c>
      <c r="J11" s="93">
        <f t="shared" si="6"/>
        <v>0</v>
      </c>
      <c r="K11" s="93">
        <f t="shared" si="6"/>
        <v>0</v>
      </c>
      <c r="L11" s="93">
        <f t="shared" si="6"/>
        <v>0</v>
      </c>
      <c r="M11" s="93">
        <f t="shared" si="6"/>
        <v>0</v>
      </c>
      <c r="N11" s="93">
        <f t="shared" si="6"/>
        <v>0</v>
      </c>
      <c r="O11" s="93">
        <f t="shared" si="6"/>
        <v>0</v>
      </c>
      <c r="P11" s="93">
        <f t="shared" si="6"/>
        <v>0</v>
      </c>
      <c r="Q11" s="93">
        <f t="shared" si="6"/>
        <v>0</v>
      </c>
      <c r="R11" s="93">
        <f t="shared" si="6"/>
        <v>0</v>
      </c>
      <c r="S11" s="93">
        <f t="shared" si="6"/>
        <v>0</v>
      </c>
      <c r="T11" s="93">
        <f t="shared" si="6"/>
        <v>0</v>
      </c>
      <c r="U11" s="93">
        <f t="shared" si="6"/>
        <v>0</v>
      </c>
      <c r="V11" s="93">
        <f t="shared" si="6"/>
        <v>0</v>
      </c>
      <c r="W11" s="93">
        <f t="shared" si="6"/>
        <v>0</v>
      </c>
      <c r="X11" s="93">
        <f t="shared" si="6"/>
        <v>0</v>
      </c>
      <c r="Y11" s="93">
        <f t="shared" si="6"/>
        <v>0</v>
      </c>
      <c r="Z11" s="93">
        <f t="shared" si="6"/>
        <v>0</v>
      </c>
      <c r="AA11" s="93">
        <f t="shared" si="6"/>
        <v>0</v>
      </c>
      <c r="AB11" s="93">
        <f t="shared" si="6"/>
        <v>0</v>
      </c>
      <c r="AC11" s="152"/>
    </row>
    <row r="12" spans="2:30" ht="19.5" customHeight="1" thickBot="1">
      <c r="B12" s="127"/>
      <c r="C12" s="93"/>
      <c r="D12" s="846" t="s">
        <v>22</v>
      </c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847"/>
      <c r="W12" s="847"/>
      <c r="X12" s="847"/>
      <c r="Y12" s="847"/>
      <c r="Z12" s="847"/>
      <c r="AA12" s="847"/>
      <c r="AB12" s="847"/>
      <c r="AC12" s="848"/>
    </row>
    <row r="13" spans="2:30" ht="15.75" thickBot="1">
      <c r="B13" s="127"/>
      <c r="C13" s="125" t="s">
        <v>72</v>
      </c>
      <c r="D13" s="126">
        <v>1</v>
      </c>
      <c r="E13" s="126">
        <v>2</v>
      </c>
      <c r="F13" s="126">
        <v>3</v>
      </c>
      <c r="G13" s="126">
        <v>4</v>
      </c>
      <c r="H13" s="126">
        <v>5</v>
      </c>
      <c r="I13" s="126">
        <v>6</v>
      </c>
      <c r="J13" s="126">
        <v>7</v>
      </c>
      <c r="K13" s="126">
        <v>8</v>
      </c>
      <c r="L13" s="126">
        <v>9</v>
      </c>
      <c r="M13" s="126">
        <v>10</v>
      </c>
      <c r="N13" s="153">
        <v>11</v>
      </c>
      <c r="O13" s="126">
        <v>12</v>
      </c>
      <c r="P13" s="126">
        <v>13</v>
      </c>
      <c r="Q13" s="126">
        <v>14</v>
      </c>
      <c r="R13" s="126">
        <v>15</v>
      </c>
      <c r="S13" s="126">
        <v>16</v>
      </c>
      <c r="T13" s="126">
        <v>17</v>
      </c>
      <c r="U13" s="126">
        <v>18</v>
      </c>
      <c r="V13" s="126">
        <v>19</v>
      </c>
      <c r="W13" s="126">
        <v>20</v>
      </c>
      <c r="X13" s="126">
        <v>21</v>
      </c>
      <c r="Y13" s="126">
        <v>22</v>
      </c>
      <c r="Z13" s="126">
        <v>23</v>
      </c>
      <c r="AA13" s="126">
        <v>24</v>
      </c>
      <c r="AB13" s="126">
        <v>25</v>
      </c>
      <c r="AC13" s="153" t="s">
        <v>34</v>
      </c>
    </row>
    <row r="14" spans="2:30" s="134" customFormat="1" ht="15" customHeight="1">
      <c r="B14" s="127"/>
      <c r="C14" s="94"/>
      <c r="D14" s="128"/>
      <c r="E14" s="129"/>
      <c r="F14" s="129"/>
      <c r="G14" s="129"/>
      <c r="H14" s="129"/>
      <c r="I14" s="129"/>
      <c r="J14" s="129"/>
      <c r="K14" s="129"/>
      <c r="L14" s="130"/>
      <c r="M14" s="131"/>
      <c r="N14" s="602"/>
      <c r="O14" s="129"/>
      <c r="P14" s="129"/>
      <c r="Q14" s="129"/>
      <c r="R14" s="129"/>
      <c r="S14" s="129"/>
      <c r="T14" s="129"/>
      <c r="U14" s="129"/>
      <c r="V14" s="130"/>
      <c r="W14" s="131"/>
      <c r="X14" s="131"/>
      <c r="Y14" s="131"/>
      <c r="Z14" s="131"/>
      <c r="AA14" s="131"/>
      <c r="AB14" s="131"/>
      <c r="AC14" s="133"/>
    </row>
    <row r="15" spans="2:30">
      <c r="B15" s="102"/>
      <c r="C15" s="135" t="s">
        <v>124</v>
      </c>
      <c r="D15" s="290">
        <f>'2. Medidas c)'!J67</f>
        <v>0</v>
      </c>
      <c r="E15" s="291">
        <f>'2. Medidas c)'!K67</f>
        <v>0</v>
      </c>
      <c r="F15" s="291">
        <f>'2. Medidas c)'!L67</f>
        <v>0</v>
      </c>
      <c r="G15" s="291">
        <f>'2. Medidas c)'!M67</f>
        <v>0</v>
      </c>
      <c r="H15" s="291">
        <f>'2. Medidas c)'!N67</f>
        <v>0</v>
      </c>
      <c r="I15" s="291">
        <f>'2. Medidas c)'!O67</f>
        <v>0</v>
      </c>
      <c r="J15" s="291">
        <f>'2. Medidas c)'!P67</f>
        <v>0</v>
      </c>
      <c r="K15" s="291">
        <f>'2. Medidas c)'!Q67</f>
        <v>0</v>
      </c>
      <c r="L15" s="291">
        <f>'2. Medidas c)'!R67</f>
        <v>0</v>
      </c>
      <c r="M15" s="605">
        <f>'2. Medidas c)'!S67</f>
        <v>0</v>
      </c>
      <c r="N15" s="603">
        <f>'2. Medidas c)'!T67</f>
        <v>0</v>
      </c>
      <c r="O15" s="291">
        <f>'2. Medidas c)'!U67</f>
        <v>0</v>
      </c>
      <c r="P15" s="291">
        <f>'2. Medidas c)'!V67</f>
        <v>0</v>
      </c>
      <c r="Q15" s="291">
        <f>'2. Medidas c)'!W67</f>
        <v>0</v>
      </c>
      <c r="R15" s="291">
        <f>'2. Medidas c)'!X67</f>
        <v>0</v>
      </c>
      <c r="S15" s="291">
        <f>'2. Medidas c)'!Y67</f>
        <v>0</v>
      </c>
      <c r="T15" s="291">
        <f>'2. Medidas c)'!Z67</f>
        <v>0</v>
      </c>
      <c r="U15" s="291">
        <f>'2. Medidas c)'!AA67</f>
        <v>0</v>
      </c>
      <c r="V15" s="291">
        <f>'2. Medidas c)'!AB67</f>
        <v>0</v>
      </c>
      <c r="W15" s="291">
        <f>'2. Medidas c)'!AC67</f>
        <v>0</v>
      </c>
      <c r="X15" s="291">
        <f>'2. Medidas c)'!AD67</f>
        <v>0</v>
      </c>
      <c r="Y15" s="291">
        <f>'2. Medidas c)'!AE67</f>
        <v>0</v>
      </c>
      <c r="Z15" s="291">
        <f>'2. Medidas c)'!AF67</f>
        <v>0</v>
      </c>
      <c r="AA15" s="291">
        <f>'2. Medidas c)'!AG67</f>
        <v>0</v>
      </c>
      <c r="AB15" s="291">
        <f>'2. Medidas c)'!AH67</f>
        <v>0</v>
      </c>
      <c r="AC15" s="292">
        <f t="shared" ref="AC15" si="7">SUM(D15:AB15)</f>
        <v>0</v>
      </c>
    </row>
    <row r="16" spans="2:30" ht="15.75" thickBot="1">
      <c r="B16" s="102"/>
      <c r="C16" s="138" t="s">
        <v>95</v>
      </c>
      <c r="D16" s="293">
        <f t="shared" ref="D16" si="8">SUM(D15:D15)</f>
        <v>0</v>
      </c>
      <c r="E16" s="294">
        <f>SUM(E15:E15)</f>
        <v>0</v>
      </c>
      <c r="F16" s="294">
        <f t="shared" ref="F16:AB16" si="9">SUM(F15:F15)</f>
        <v>0</v>
      </c>
      <c r="G16" s="294">
        <f t="shared" si="9"/>
        <v>0</v>
      </c>
      <c r="H16" s="294">
        <f t="shared" si="9"/>
        <v>0</v>
      </c>
      <c r="I16" s="294">
        <f t="shared" si="9"/>
        <v>0</v>
      </c>
      <c r="J16" s="294">
        <f t="shared" si="9"/>
        <v>0</v>
      </c>
      <c r="K16" s="294">
        <f t="shared" si="9"/>
        <v>0</v>
      </c>
      <c r="L16" s="294">
        <f t="shared" si="9"/>
        <v>0</v>
      </c>
      <c r="M16" s="606">
        <f t="shared" si="9"/>
        <v>0</v>
      </c>
      <c r="N16" s="604">
        <f t="shared" si="9"/>
        <v>0</v>
      </c>
      <c r="O16" s="294">
        <f t="shared" si="9"/>
        <v>0</v>
      </c>
      <c r="P16" s="294">
        <f t="shared" si="9"/>
        <v>0</v>
      </c>
      <c r="Q16" s="294">
        <f t="shared" si="9"/>
        <v>0</v>
      </c>
      <c r="R16" s="294">
        <f t="shared" si="9"/>
        <v>0</v>
      </c>
      <c r="S16" s="294">
        <f t="shared" si="9"/>
        <v>0</v>
      </c>
      <c r="T16" s="294">
        <f t="shared" si="9"/>
        <v>0</v>
      </c>
      <c r="U16" s="294">
        <f t="shared" si="9"/>
        <v>0</v>
      </c>
      <c r="V16" s="294">
        <f t="shared" si="9"/>
        <v>0</v>
      </c>
      <c r="W16" s="294">
        <f t="shared" si="9"/>
        <v>0</v>
      </c>
      <c r="X16" s="294">
        <f t="shared" si="9"/>
        <v>0</v>
      </c>
      <c r="Y16" s="294">
        <f t="shared" si="9"/>
        <v>0</v>
      </c>
      <c r="Z16" s="294">
        <f t="shared" si="9"/>
        <v>0</v>
      </c>
      <c r="AA16" s="294">
        <f t="shared" si="9"/>
        <v>0</v>
      </c>
      <c r="AB16" s="294">
        <f t="shared" si="9"/>
        <v>0</v>
      </c>
      <c r="AC16" s="292">
        <f t="shared" ref="AC16" si="10">SUM(D16:AB16)</f>
        <v>0</v>
      </c>
    </row>
    <row r="17" spans="2:29" ht="15.75" thickBot="1"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</row>
    <row r="18" spans="2:29" ht="8.25" customHeight="1">
      <c r="B18" s="90"/>
      <c r="C18" s="90"/>
      <c r="D18" s="90"/>
      <c r="E18" s="90"/>
      <c r="F18" s="90"/>
    </row>
    <row r="19" spans="2:29" ht="37.5" customHeight="1">
      <c r="B19" s="90"/>
      <c r="C19" s="90"/>
      <c r="D19" s="90"/>
      <c r="E19" s="90"/>
      <c r="F19" s="90"/>
    </row>
    <row r="20" spans="2:29" ht="39.75" customHeight="1" thickBot="1">
      <c r="B20" s="872" t="s">
        <v>221</v>
      </c>
      <c r="C20" s="872"/>
      <c r="D20" s="872"/>
      <c r="E20" s="90"/>
      <c r="F20" s="90"/>
    </row>
    <row r="21" spans="2:29" ht="39.75" customHeight="1">
      <c r="B21" s="226"/>
      <c r="C21" s="573"/>
      <c r="D21" s="573"/>
      <c r="E21" s="84"/>
      <c r="F21" s="84"/>
      <c r="G21" s="84"/>
      <c r="H21" s="227"/>
    </row>
    <row r="22" spans="2:29" ht="39.75" customHeight="1">
      <c r="B22" s="228"/>
      <c r="C22" s="873" t="s">
        <v>160</v>
      </c>
      <c r="D22" s="873"/>
      <c r="E22" s="873"/>
      <c r="F22" s="873"/>
      <c r="G22" s="873"/>
      <c r="H22" s="229"/>
    </row>
    <row r="23" spans="2:29" ht="39.75" customHeight="1" thickBot="1">
      <c r="B23" s="228"/>
      <c r="C23" s="112"/>
      <c r="F23" s="90"/>
      <c r="G23" s="90"/>
      <c r="H23" s="229"/>
    </row>
    <row r="24" spans="2:29" ht="32.25" customHeight="1" thickBot="1">
      <c r="B24" s="228"/>
      <c r="C24" s="852" t="s">
        <v>226</v>
      </c>
      <c r="D24" s="861"/>
      <c r="E24" s="853"/>
      <c r="F24" s="587" t="str">
        <f>IF(OR(G24=0,G24=""),"",IF(G24&gt;=30%,"Sim","Não"))</f>
        <v/>
      </c>
      <c r="G24" s="598" t="str">
        <f>IF('1. Identificação Ben. Oper.'!D44=0,"",('6. Indicadores'!E18)/('1. Identificação Ben. Oper.'!D44))</f>
        <v/>
      </c>
      <c r="H24" s="229"/>
    </row>
    <row r="25" spans="2:29" ht="24.75" customHeight="1" thickBot="1">
      <c r="B25" s="241"/>
      <c r="C25" s="574"/>
      <c r="D25" s="574"/>
      <c r="E25" s="106"/>
      <c r="F25" s="106"/>
      <c r="G25" s="106"/>
      <c r="H25" s="107"/>
    </row>
    <row r="26" spans="2:29" ht="25.5" customHeight="1">
      <c r="B26" s="228"/>
      <c r="C26" s="90"/>
      <c r="D26" s="90"/>
      <c r="E26" s="90"/>
      <c r="F26" s="90"/>
      <c r="G26" s="90"/>
      <c r="H26" s="229"/>
    </row>
    <row r="27" spans="2:29" ht="24.75" customHeight="1">
      <c r="B27" s="228"/>
      <c r="C27" s="845" t="s">
        <v>222</v>
      </c>
      <c r="D27" s="845"/>
      <c r="E27" s="845"/>
      <c r="F27" s="845"/>
      <c r="G27" s="845"/>
      <c r="H27" s="229"/>
    </row>
    <row r="28" spans="2:29" ht="14.25" customHeight="1">
      <c r="B28" s="228"/>
      <c r="C28" s="90"/>
      <c r="D28" s="90"/>
      <c r="E28" s="90"/>
      <c r="F28" s="90"/>
      <c r="G28" s="90"/>
      <c r="H28" s="229"/>
      <c r="I28" s="94"/>
    </row>
    <row r="29" spans="2:29" ht="15.75" thickBot="1">
      <c r="B29" s="228"/>
      <c r="C29" s="90"/>
      <c r="E29" s="55" t="s">
        <v>223</v>
      </c>
      <c r="F29" s="53" t="s">
        <v>224</v>
      </c>
      <c r="G29" s="53" t="s">
        <v>225</v>
      </c>
      <c r="H29" s="229"/>
      <c r="I29" s="94"/>
    </row>
    <row r="30" spans="2:29" ht="21" customHeight="1">
      <c r="B30" s="113"/>
      <c r="C30" s="874" t="s">
        <v>233</v>
      </c>
      <c r="D30" s="875"/>
      <c r="E30" s="570">
        <f>'2. Medidas c)'!E26</f>
        <v>0</v>
      </c>
      <c r="F30" s="565">
        <f>'2. Medidas c)'!E27</f>
        <v>0</v>
      </c>
      <c r="G30" s="566">
        <f>'2. Medidas c)'!E28</f>
        <v>0</v>
      </c>
      <c r="H30" s="229"/>
      <c r="I30" s="94"/>
    </row>
    <row r="31" spans="2:29" ht="21" customHeight="1">
      <c r="B31" s="113"/>
      <c r="C31" s="876" t="s">
        <v>274</v>
      </c>
      <c r="D31" s="877"/>
      <c r="E31" s="571">
        <f>'3. Medidas d)'!E18</f>
        <v>0</v>
      </c>
      <c r="F31" s="528">
        <f>'3. Medidas d)'!E19</f>
        <v>0</v>
      </c>
      <c r="G31" s="567">
        <f>'3. Medidas d)'!E20</f>
        <v>0</v>
      </c>
      <c r="H31" s="229"/>
      <c r="I31" s="94"/>
    </row>
    <row r="32" spans="2:29" ht="21" customHeight="1" thickBot="1">
      <c r="B32" s="113"/>
      <c r="C32" s="878" t="s">
        <v>167</v>
      </c>
      <c r="D32" s="879"/>
      <c r="E32" s="572">
        <f>'4. Outras despesas art. 7º'!F23</f>
        <v>0</v>
      </c>
      <c r="F32" s="568">
        <f>'4. Outras despesas art. 7º'!F24</f>
        <v>0</v>
      </c>
      <c r="G32" s="569">
        <f>'4. Outras despesas art. 7º'!F25</f>
        <v>0</v>
      </c>
      <c r="H32" s="229"/>
      <c r="I32" s="94"/>
    </row>
    <row r="33" spans="2:11" ht="21" customHeight="1" thickBot="1">
      <c r="B33" s="113"/>
      <c r="D33" s="225" t="s">
        <v>35</v>
      </c>
      <c r="E33" s="559">
        <f>SUM(E30:E32)</f>
        <v>0</v>
      </c>
      <c r="F33" s="559">
        <f>SUM(F30:F32)</f>
        <v>0</v>
      </c>
      <c r="G33" s="559">
        <f>SUM(G30:G32)</f>
        <v>0</v>
      </c>
      <c r="H33" s="229"/>
      <c r="I33" s="94"/>
    </row>
    <row r="34" spans="2:11" ht="14.45">
      <c r="B34" s="113"/>
      <c r="C34" s="225"/>
      <c r="D34" s="225"/>
      <c r="E34" s="225"/>
      <c r="F34" s="225"/>
      <c r="H34" s="229"/>
      <c r="I34" s="94"/>
    </row>
    <row r="35" spans="2:11" s="111" customFormat="1" thickBot="1">
      <c r="B35" s="113"/>
      <c r="H35" s="229"/>
      <c r="I35" s="94"/>
      <c r="J35" s="124"/>
    </row>
    <row r="36" spans="2:11" s="111" customFormat="1" ht="29.45" thickBot="1">
      <c r="B36" s="113"/>
      <c r="D36" s="224" t="s">
        <v>59</v>
      </c>
      <c r="E36" s="560">
        <f>ROUND(F33,2)</f>
        <v>0</v>
      </c>
      <c r="F36" s="225"/>
      <c r="H36" s="229"/>
      <c r="I36" s="94"/>
      <c r="J36" s="124"/>
    </row>
    <row r="37" spans="2:11" s="111" customFormat="1" ht="18" customHeight="1" thickBot="1">
      <c r="B37" s="562"/>
      <c r="C37" s="563"/>
      <c r="D37" s="563"/>
      <c r="E37" s="563"/>
      <c r="F37" s="563"/>
      <c r="G37" s="563"/>
      <c r="H37" s="564"/>
      <c r="I37" s="94"/>
      <c r="J37" s="124"/>
      <c r="K37" s="124"/>
    </row>
    <row r="38" spans="2:11" s="111" customFormat="1" ht="18" customHeight="1">
      <c r="B38" s="231"/>
      <c r="C38" s="232"/>
      <c r="D38" s="232"/>
      <c r="E38" s="232"/>
      <c r="F38" s="232"/>
      <c r="G38" s="232"/>
      <c r="H38" s="227"/>
      <c r="I38" s="94"/>
      <c r="J38" s="124"/>
      <c r="K38" s="124"/>
    </row>
    <row r="39" spans="2:11" s="111" customFormat="1" ht="31.5" customHeight="1">
      <c r="B39" s="113"/>
      <c r="C39" s="869" t="s">
        <v>109</v>
      </c>
      <c r="D39" s="869"/>
      <c r="E39" s="869"/>
      <c r="F39" s="869"/>
      <c r="G39" s="869"/>
      <c r="H39" s="229"/>
      <c r="I39" s="94"/>
      <c r="J39" s="124"/>
      <c r="K39" s="124"/>
    </row>
    <row r="40" spans="2:11" s="111" customFormat="1" ht="32.25" customHeight="1" thickBot="1">
      <c r="B40" s="113"/>
      <c r="C40" s="284"/>
      <c r="D40" s="284"/>
      <c r="E40" s="284"/>
      <c r="F40" s="284"/>
      <c r="G40" s="284"/>
      <c r="H40" s="229"/>
      <c r="I40" s="94"/>
      <c r="J40" s="124"/>
      <c r="K40" s="124"/>
    </row>
    <row r="41" spans="2:11" s="111" customFormat="1" ht="48" customHeight="1" thickBot="1">
      <c r="B41" s="113"/>
      <c r="C41" s="90"/>
      <c r="E41" s="445" t="s">
        <v>129</v>
      </c>
      <c r="F41" s="446" t="s">
        <v>164</v>
      </c>
      <c r="G41" s="446" t="s">
        <v>163</v>
      </c>
      <c r="H41" s="229"/>
      <c r="I41" s="94"/>
      <c r="J41" s="124"/>
      <c r="K41" s="124"/>
    </row>
    <row r="42" spans="2:11" s="111" customFormat="1" ht="69.75" customHeight="1" thickBot="1">
      <c r="B42" s="113"/>
      <c r="C42" s="855" t="s">
        <v>153</v>
      </c>
      <c r="D42" s="856"/>
      <c r="E42" s="424"/>
      <c r="F42" s="390">
        <f>IF(E42="",0,VLOOKUP(E42,'9. Fatores de conversão'!C20:D24,2,FALSE))</f>
        <v>0</v>
      </c>
      <c r="G42" s="425"/>
      <c r="H42" s="229"/>
      <c r="I42" s="94"/>
      <c r="J42" s="124"/>
      <c r="K42" s="124"/>
    </row>
    <row r="43" spans="2:11" s="111" customFormat="1" ht="14.45">
      <c r="B43" s="113"/>
      <c r="C43" s="14"/>
      <c r="D43" s="112"/>
      <c r="E43" s="112"/>
      <c r="F43" s="391">
        <f>IF(E42="",0,VLOOKUP(E42,'9. Fatores de conversão'!A20:B24,2,FALSE))</f>
        <v>0</v>
      </c>
      <c r="G43" s="112" t="s">
        <v>269</v>
      </c>
      <c r="H43" s="233"/>
      <c r="J43" s="124"/>
      <c r="K43" s="124"/>
    </row>
    <row r="44" spans="2:11" s="111" customFormat="1" ht="34.5" customHeight="1" thickBot="1">
      <c r="B44" s="113"/>
      <c r="C44" s="868" t="s">
        <v>110</v>
      </c>
      <c r="D44" s="868"/>
      <c r="E44" s="867" t="s">
        <v>111</v>
      </c>
      <c r="F44" s="867"/>
      <c r="G44" s="867"/>
      <c r="H44" s="229"/>
      <c r="I44" s="94"/>
      <c r="J44" s="124"/>
      <c r="K44" s="124"/>
    </row>
    <row r="45" spans="2:11" s="111" customFormat="1" ht="34.5" customHeight="1" thickBot="1">
      <c r="B45" s="113"/>
      <c r="C45" s="223" t="s">
        <v>112</v>
      </c>
      <c r="D45" s="447">
        <f>IF(D63="Projeto Não Elegível!",0,ROUND((E36-F31)*F42,2))</f>
        <v>0</v>
      </c>
      <c r="E45" s="865" t="s">
        <v>113</v>
      </c>
      <c r="F45" s="866"/>
      <c r="G45" s="448">
        <f>IF(G42="",0,IF(D47&gt;G42,G42-D46,D45))</f>
        <v>0</v>
      </c>
      <c r="H45" s="229"/>
      <c r="I45" s="94"/>
      <c r="J45" s="124"/>
      <c r="K45" s="124"/>
    </row>
    <row r="46" spans="2:11" s="111" customFormat="1" ht="34.5" customHeight="1" thickBot="1">
      <c r="B46" s="113"/>
      <c r="C46" s="223" t="s">
        <v>73</v>
      </c>
      <c r="D46" s="447">
        <f>(ROUND(F31*F43,2))</f>
        <v>0</v>
      </c>
      <c r="E46" s="865" t="s">
        <v>73</v>
      </c>
      <c r="F46" s="866"/>
      <c r="G46" s="448">
        <f>IF(D46&gt;G42,G42,D46)</f>
        <v>0</v>
      </c>
      <c r="H46" s="229"/>
      <c r="I46" s="94"/>
      <c r="J46" s="124"/>
      <c r="K46" s="124"/>
    </row>
    <row r="47" spans="2:11" s="111" customFormat="1" ht="34.5" customHeight="1" thickBot="1">
      <c r="B47" s="113"/>
      <c r="C47" s="223" t="s">
        <v>117</v>
      </c>
      <c r="D47" s="447">
        <f>(D45+D46)</f>
        <v>0</v>
      </c>
      <c r="E47" s="865" t="s">
        <v>39</v>
      </c>
      <c r="F47" s="866"/>
      <c r="G47" s="448">
        <f>IF(G42=0,0,G45+G46)</f>
        <v>0</v>
      </c>
      <c r="H47" s="234"/>
      <c r="I47" s="94"/>
      <c r="J47" s="124"/>
      <c r="K47" s="124"/>
    </row>
    <row r="48" spans="2:11" s="111" customFormat="1" ht="34.5" customHeight="1" thickBot="1">
      <c r="B48" s="230"/>
      <c r="C48" s="235"/>
      <c r="D48" s="235"/>
      <c r="E48" s="235"/>
      <c r="F48" s="235"/>
      <c r="G48" s="235"/>
      <c r="H48" s="236"/>
      <c r="I48" s="225"/>
      <c r="J48" s="225"/>
      <c r="K48" s="124"/>
    </row>
    <row r="49" spans="1:15" s="111" customFormat="1" ht="34.5" customHeight="1">
      <c r="B49" s="231"/>
      <c r="C49" s="237"/>
      <c r="D49" s="237"/>
      <c r="E49" s="237"/>
      <c r="F49" s="237"/>
      <c r="G49" s="237"/>
      <c r="H49" s="238"/>
      <c r="I49" s="225"/>
      <c r="J49" s="225"/>
      <c r="K49" s="124"/>
    </row>
    <row r="50" spans="1:15" s="111" customFormat="1" ht="34.5" customHeight="1">
      <c r="B50" s="113"/>
      <c r="C50" s="854" t="s">
        <v>114</v>
      </c>
      <c r="D50" s="854"/>
      <c r="E50" s="854"/>
      <c r="F50" s="854"/>
      <c r="G50" s="854"/>
      <c r="H50" s="239"/>
      <c r="I50" s="225"/>
      <c r="J50" s="225"/>
      <c r="K50" s="124"/>
    </row>
    <row r="51" spans="1:15" s="111" customFormat="1" ht="43.5" customHeight="1" thickBot="1">
      <c r="B51" s="113"/>
      <c r="C51" s="851" t="s">
        <v>65</v>
      </c>
      <c r="D51" s="851"/>
      <c r="E51" s="851" t="s">
        <v>66</v>
      </c>
      <c r="F51" s="851"/>
      <c r="G51" s="851"/>
      <c r="H51" s="229"/>
      <c r="I51" s="94"/>
      <c r="J51" s="124"/>
      <c r="K51" s="124"/>
    </row>
    <row r="52" spans="1:15" s="111" customFormat="1" ht="51.75" customHeight="1" thickBot="1">
      <c r="B52" s="113"/>
      <c r="C52" s="224" t="s">
        <v>63</v>
      </c>
      <c r="D52" s="452">
        <f>IF(MAX(AD6:AD6)&gt;25,25,MAX(AD6:AD6))</f>
        <v>0</v>
      </c>
      <c r="E52" s="857" t="s">
        <v>130</v>
      </c>
      <c r="F52" s="858"/>
      <c r="G52" s="454">
        <f>IF(D53=0,0,IF(ROUND(G45/(D53*0.7),0)&gt;35,35,(ROUND(G45/(D53*0.7),0))))</f>
        <v>0</v>
      </c>
      <c r="H52" s="229"/>
      <c r="I52" s="94"/>
      <c r="J52" s="124"/>
      <c r="K52" s="124"/>
    </row>
    <row r="53" spans="1:15" s="111" customFormat="1" ht="53.25" customHeight="1" thickBot="1">
      <c r="B53" s="113"/>
      <c r="C53" s="224" t="s">
        <v>64</v>
      </c>
      <c r="D53" s="453">
        <f>IF(AC7=0,0,ROUND(AC7/D52,2))</f>
        <v>0</v>
      </c>
      <c r="E53" s="852" t="s">
        <v>131</v>
      </c>
      <c r="F53" s="853"/>
      <c r="G53" s="616">
        <f>IF(OR(G42="",G52=0),0,IF(ROUND(G45/G52,2)&lt;ROUND(D53*0.7,2),ROUND(D53*0.7,2),(ROUND(G45/G52,2))))</f>
        <v>0</v>
      </c>
      <c r="H53" s="229"/>
      <c r="I53" s="94"/>
      <c r="J53" s="124"/>
      <c r="K53" s="124"/>
    </row>
    <row r="54" spans="1:15" ht="38.25" customHeight="1" thickBot="1">
      <c r="B54" s="228"/>
      <c r="C54" s="90" t="str">
        <f>IF(G53&gt;D53,"Não elegivel; para o periodo máximo de reembolso de 35 anos, o somatorio das poupanças médias anuais não permite reembolsar o valor do apoio a conceder ","")</f>
        <v/>
      </c>
      <c r="D54" s="90"/>
      <c r="E54" s="90"/>
      <c r="F54" s="90"/>
      <c r="G54" s="90"/>
      <c r="H54" s="240"/>
      <c r="I54" s="155"/>
      <c r="J54" s="155"/>
      <c r="K54" s="155"/>
      <c r="L54" s="156"/>
      <c r="M54" s="157"/>
      <c r="N54" s="158"/>
      <c r="O54" s="158"/>
    </row>
    <row r="55" spans="1:15" ht="40.5" customHeight="1" thickBot="1">
      <c r="B55" s="228"/>
      <c r="C55" s="849" t="s">
        <v>70</v>
      </c>
      <c r="D55" s="850"/>
      <c r="E55" s="859" t="s">
        <v>67</v>
      </c>
      <c r="F55" s="860"/>
      <c r="G55" s="456">
        <f>(ROUND(G53/2,2))</f>
        <v>0</v>
      </c>
      <c r="H55" s="229"/>
      <c r="I55" s="243"/>
      <c r="J55" s="161"/>
      <c r="K55" s="161"/>
      <c r="L55" s="159"/>
      <c r="M55" s="158"/>
      <c r="N55" s="158"/>
      <c r="O55" s="158"/>
    </row>
    <row r="56" spans="1:15" ht="40.5" customHeight="1" thickBot="1">
      <c r="B56" s="228"/>
      <c r="C56" s="154" t="s">
        <v>69</v>
      </c>
      <c r="D56" s="455">
        <f>G52*2</f>
        <v>0</v>
      </c>
      <c r="E56" s="859" t="s">
        <v>68</v>
      </c>
      <c r="F56" s="860"/>
      <c r="G56" s="456">
        <f>G45-(G55*(D56-1))</f>
        <v>0</v>
      </c>
      <c r="H56" s="229"/>
      <c r="I56" s="161"/>
      <c r="J56" s="161"/>
      <c r="K56" s="161"/>
      <c r="L56" s="159"/>
      <c r="M56" s="158"/>
      <c r="N56" s="158"/>
      <c r="O56" s="158"/>
    </row>
    <row r="57" spans="1:15" ht="30" customHeight="1" thickBot="1">
      <c r="B57" s="228"/>
      <c r="C57" s="90"/>
      <c r="D57" s="90"/>
      <c r="E57" s="870" t="s">
        <v>116</v>
      </c>
      <c r="F57" s="871"/>
      <c r="G57" s="457">
        <f>IF(D53=0,0,G53/D53)</f>
        <v>0</v>
      </c>
      <c r="H57" s="229"/>
      <c r="I57" s="161"/>
      <c r="J57" s="161"/>
      <c r="K57" s="161"/>
      <c r="L57" s="159"/>
      <c r="M57" s="158"/>
      <c r="N57" s="158"/>
      <c r="O57" s="158"/>
    </row>
    <row r="58" spans="1:15" ht="30" customHeight="1" thickBot="1">
      <c r="B58" s="241"/>
      <c r="C58" s="106"/>
      <c r="D58" s="106"/>
      <c r="E58" s="242"/>
      <c r="F58" s="106"/>
      <c r="G58" s="106"/>
      <c r="H58" s="107"/>
      <c r="I58" s="161"/>
      <c r="J58" s="161"/>
      <c r="K58" s="161"/>
      <c r="L58" s="159"/>
      <c r="M58" s="158"/>
      <c r="N58" s="158"/>
      <c r="O58" s="158"/>
    </row>
    <row r="59" spans="1:15" ht="15" customHeight="1">
      <c r="A59" s="90"/>
      <c r="B59" s="158"/>
      <c r="C59" s="577"/>
      <c r="D59" s="577"/>
      <c r="E59" s="578"/>
      <c r="F59" s="577"/>
      <c r="G59" s="577"/>
      <c r="H59" s="577"/>
      <c r="I59" s="161"/>
      <c r="J59" s="161"/>
      <c r="K59" s="161"/>
      <c r="L59" s="159"/>
      <c r="M59" s="158"/>
      <c r="N59" s="158"/>
      <c r="O59" s="158"/>
    </row>
    <row r="60" spans="1:15" ht="30" customHeight="1">
      <c r="A60" s="90"/>
      <c r="B60" s="561"/>
      <c r="C60" s="862"/>
      <c r="D60" s="862"/>
      <c r="E60" s="862"/>
      <c r="F60" s="862"/>
      <c r="G60" s="862"/>
      <c r="H60" s="158"/>
      <c r="I60" s="162"/>
      <c r="J60" s="162"/>
      <c r="K60" s="162"/>
      <c r="L60" s="160"/>
      <c r="M60" s="90"/>
      <c r="N60" s="90"/>
      <c r="O60" s="90"/>
    </row>
    <row r="61" spans="1:15" ht="30" customHeight="1">
      <c r="A61" s="90"/>
      <c r="B61" s="561"/>
      <c r="C61" s="225"/>
      <c r="D61" s="225"/>
      <c r="E61" s="225"/>
      <c r="F61" s="225"/>
      <c r="G61" s="225"/>
      <c r="H61" s="225"/>
    </row>
    <row r="62" spans="1:15" ht="30" customHeight="1">
      <c r="A62" s="90"/>
      <c r="B62" s="561"/>
      <c r="C62" s="561"/>
      <c r="D62" s="863"/>
      <c r="E62" s="863"/>
      <c r="F62" s="225"/>
      <c r="G62" s="225"/>
      <c r="H62" s="225"/>
    </row>
    <row r="63" spans="1:15" ht="30" customHeight="1">
      <c r="A63" s="90"/>
      <c r="B63" s="158"/>
      <c r="C63" s="79"/>
      <c r="D63" s="385"/>
      <c r="E63" s="579"/>
      <c r="F63" s="158"/>
      <c r="G63" s="158"/>
      <c r="H63" s="158"/>
    </row>
    <row r="64" spans="1:15" ht="30" customHeight="1">
      <c r="A64" s="90"/>
      <c r="B64" s="158"/>
      <c r="C64" s="575"/>
      <c r="D64" s="158"/>
      <c r="E64" s="576"/>
      <c r="F64" s="158"/>
      <c r="G64" s="158"/>
      <c r="H64" s="158"/>
    </row>
    <row r="65" spans="1:8" ht="30" customHeight="1">
      <c r="A65" s="90"/>
      <c r="B65" s="158"/>
      <c r="C65" s="158"/>
      <c r="D65" s="158"/>
      <c r="E65" s="158"/>
      <c r="F65" s="158"/>
      <c r="G65" s="158"/>
      <c r="H65" s="158"/>
    </row>
  </sheetData>
  <sheetProtection password="CCE5" sheet="1" objects="1" scenarios="1" insertRows="0" selectLockedCells="1"/>
  <mergeCells count="28">
    <mergeCell ref="C60:G60"/>
    <mergeCell ref="D62:E62"/>
    <mergeCell ref="AD4:AD5"/>
    <mergeCell ref="E45:F45"/>
    <mergeCell ref="E46:F46"/>
    <mergeCell ref="E47:F47"/>
    <mergeCell ref="E44:G44"/>
    <mergeCell ref="C44:D44"/>
    <mergeCell ref="C39:G39"/>
    <mergeCell ref="E56:F56"/>
    <mergeCell ref="E57:F57"/>
    <mergeCell ref="B20:D20"/>
    <mergeCell ref="C22:G22"/>
    <mergeCell ref="C30:D30"/>
    <mergeCell ref="C31:D31"/>
    <mergeCell ref="C32:D32"/>
    <mergeCell ref="C27:G27"/>
    <mergeCell ref="D2:AC2"/>
    <mergeCell ref="D12:AC12"/>
    <mergeCell ref="C55:D55"/>
    <mergeCell ref="C51:D51"/>
    <mergeCell ref="E53:F53"/>
    <mergeCell ref="C50:G50"/>
    <mergeCell ref="C42:D42"/>
    <mergeCell ref="E52:F52"/>
    <mergeCell ref="E51:G51"/>
    <mergeCell ref="E55:F55"/>
    <mergeCell ref="C24:E24"/>
  </mergeCells>
  <conditionalFormatting sqref="AC9 D8:AB9">
    <cfRule type="cellIs" dxfId="13" priority="11" operator="equal">
      <formula>0</formula>
    </cfRule>
  </conditionalFormatting>
  <conditionalFormatting sqref="D10:AB10">
    <cfRule type="cellIs" dxfId="12" priority="9" operator="equal">
      <formula>0</formula>
    </cfRule>
  </conditionalFormatting>
  <conditionalFormatting sqref="D7:AB7">
    <cfRule type="cellIs" dxfId="11" priority="6" operator="equal">
      <formula>0</formula>
    </cfRule>
  </conditionalFormatting>
  <conditionalFormatting sqref="D11:AB11">
    <cfRule type="cellIs" dxfId="10" priority="5" operator="equal">
      <formula>0</formula>
    </cfRule>
  </conditionalFormatting>
  <conditionalFormatting sqref="D63">
    <cfRule type="containsText" dxfId="9" priority="3" operator="containsText" text="Projeto Não Elegível!">
      <formula>NOT(ISERROR(SEARCH("Projeto Não Elegível!",D63)))</formula>
    </cfRule>
    <cfRule type="containsText" dxfId="8" priority="4" operator="containsText" text="Projeto Elegível">
      <formula>NOT(ISERROR(SEARCH("Projeto Elegível",D63)))</formula>
    </cfRule>
  </conditionalFormatting>
  <conditionalFormatting sqref="F24">
    <cfRule type="expression" dxfId="7" priority="2">
      <formula>$F$24="Não"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'9. Fatores de conversão'!$C$20:$C$24</xm:f>
          </x14:formula1>
          <xm:sqref>E42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26"/>
  <sheetViews>
    <sheetView showGridLines="0" topLeftCell="A10" zoomScaleNormal="100" workbookViewId="0">
      <selection activeCell="F19" sqref="F19"/>
    </sheetView>
  </sheetViews>
  <sheetFormatPr defaultColWidth="9.140625" defaultRowHeight="12.75"/>
  <cols>
    <col min="1" max="1" width="2.7109375" style="343" customWidth="1"/>
    <col min="2" max="2" width="13.7109375" style="343" customWidth="1"/>
    <col min="3" max="3" width="50" style="343" customWidth="1"/>
    <col min="4" max="4" width="14" style="343" customWidth="1"/>
    <col min="5" max="5" width="14.7109375" style="343" customWidth="1"/>
    <col min="6" max="6" width="14.85546875" style="343" customWidth="1"/>
    <col min="7" max="7" width="16.28515625" style="343" customWidth="1"/>
    <col min="8" max="8" width="17.5703125" style="343" customWidth="1"/>
    <col min="9" max="9" width="17.140625" style="343" customWidth="1"/>
    <col min="10" max="10" width="21.28515625" style="343" customWidth="1"/>
    <col min="11" max="11" width="14.7109375" style="343" customWidth="1"/>
    <col min="12" max="12" width="17.42578125" style="343" customWidth="1"/>
    <col min="13" max="13" width="16.5703125" style="343" customWidth="1"/>
    <col min="14" max="15" width="9.42578125" style="343" customWidth="1"/>
    <col min="16" max="16" width="11.7109375" style="343" customWidth="1"/>
    <col min="17" max="19" width="9.42578125" style="343" customWidth="1"/>
    <col min="20" max="21" width="12.7109375" style="343" customWidth="1"/>
    <col min="22" max="16384" width="9.140625" style="343"/>
  </cols>
  <sheetData>
    <row r="1" spans="1:21" s="296" customFormat="1"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337"/>
      <c r="N1" s="295"/>
    </row>
    <row r="2" spans="1:21" s="296" customFormat="1">
      <c r="B2" s="322" t="s">
        <v>132</v>
      </c>
      <c r="C2" s="323"/>
      <c r="D2" s="324" t="s">
        <v>133</v>
      </c>
      <c r="E2" s="326"/>
      <c r="F2" s="326"/>
      <c r="G2" s="326"/>
      <c r="H2" s="327"/>
      <c r="I2" s="327"/>
      <c r="J2" s="327"/>
      <c r="K2" s="327"/>
      <c r="L2" s="328"/>
      <c r="M2" s="338"/>
      <c r="N2" s="297"/>
    </row>
    <row r="3" spans="1:21" s="296" customFormat="1">
      <c r="B3" s="322"/>
      <c r="C3" s="323"/>
      <c r="D3" s="324"/>
      <c r="E3" s="326"/>
      <c r="F3" s="326"/>
      <c r="G3" s="326"/>
      <c r="H3" s="327"/>
      <c r="I3" s="327"/>
      <c r="J3" s="327"/>
      <c r="K3" s="327"/>
      <c r="L3" s="328"/>
      <c r="M3" s="338"/>
      <c r="N3" s="297"/>
    </row>
    <row r="4" spans="1:21" s="296" customFormat="1">
      <c r="B4" s="322" t="s">
        <v>134</v>
      </c>
      <c r="C4" s="323"/>
      <c r="D4" s="324" t="s">
        <v>135</v>
      </c>
      <c r="E4" s="326"/>
      <c r="F4" s="326"/>
      <c r="G4" s="326"/>
      <c r="H4" s="329"/>
      <c r="I4" s="329"/>
      <c r="J4" s="329"/>
      <c r="K4" s="330"/>
      <c r="L4" s="331"/>
      <c r="M4" s="339"/>
      <c r="N4" s="298"/>
      <c r="O4" s="296" t="s">
        <v>136</v>
      </c>
    </row>
    <row r="5" spans="1:21" s="296" customFormat="1">
      <c r="B5" s="322" t="s">
        <v>152</v>
      </c>
      <c r="C5" s="323"/>
      <c r="D5" s="324" t="s">
        <v>137</v>
      </c>
      <c r="E5" s="323"/>
      <c r="F5" s="323"/>
      <c r="G5" s="323"/>
      <c r="H5" s="323"/>
      <c r="I5" s="323"/>
      <c r="J5" s="323"/>
      <c r="K5" s="323"/>
      <c r="L5" s="323"/>
      <c r="M5" s="340"/>
      <c r="N5" s="299"/>
      <c r="O5" s="296" t="s">
        <v>138</v>
      </c>
      <c r="P5" s="299"/>
      <c r="Q5" s="299"/>
      <c r="R5" s="299"/>
      <c r="S5" s="299"/>
      <c r="T5" s="299"/>
      <c r="U5" s="299"/>
    </row>
    <row r="6" spans="1:21" s="296" customFormat="1">
      <c r="B6" s="332" t="s">
        <v>139</v>
      </c>
      <c r="C6" s="327"/>
      <c r="D6" s="333" t="s">
        <v>149</v>
      </c>
      <c r="E6" s="326"/>
      <c r="F6" s="326"/>
      <c r="G6" s="326"/>
      <c r="H6" s="329"/>
      <c r="I6" s="329"/>
      <c r="J6" s="329"/>
      <c r="K6" s="326"/>
      <c r="L6" s="334"/>
      <c r="M6" s="341"/>
      <c r="N6" s="300"/>
    </row>
    <row r="7" spans="1:21" s="296" customFormat="1">
      <c r="A7" s="325"/>
      <c r="B7" s="336"/>
      <c r="C7" s="336"/>
      <c r="D7" s="432"/>
      <c r="E7" s="432"/>
      <c r="F7" s="432"/>
      <c r="G7" s="432"/>
      <c r="H7" s="432"/>
      <c r="I7" s="432"/>
      <c r="J7" s="432"/>
      <c r="K7" s="325"/>
      <c r="L7" s="325"/>
    </row>
    <row r="8" spans="1:21" s="296" customFormat="1">
      <c r="A8" s="325"/>
      <c r="B8" s="436" t="s">
        <v>140</v>
      </c>
      <c r="C8" s="437"/>
      <c r="D8" s="881" t="str">
        <f>IF('1. Identificação Ben. Oper.'!D16="","",'1. Identificação Ben. Oper.'!D16)</f>
        <v/>
      </c>
      <c r="E8" s="882"/>
      <c r="F8" s="433"/>
      <c r="G8" s="434"/>
      <c r="H8" s="435" t="s">
        <v>198</v>
      </c>
      <c r="I8" s="883" t="str">
        <f>IF('1. Identificação Ben. Oper.'!D5="","",'1. Identificação Ben. Oper.'!D5)</f>
        <v>(atribuído pelo Balcão 2020 após submissão)</v>
      </c>
      <c r="J8" s="884"/>
      <c r="K8" s="325"/>
      <c r="L8" s="430"/>
      <c r="M8" s="301"/>
    </row>
    <row r="9" spans="1:21" s="296" customFormat="1">
      <c r="A9" s="325"/>
      <c r="B9" s="438"/>
      <c r="C9" s="335"/>
      <c r="D9" s="430"/>
      <c r="E9" s="430"/>
      <c r="F9" s="430"/>
      <c r="G9" s="430"/>
      <c r="H9" s="431"/>
      <c r="I9" s="431"/>
      <c r="J9" s="430"/>
      <c r="K9" s="430"/>
      <c r="L9" s="430"/>
      <c r="M9" s="301"/>
    </row>
    <row r="10" spans="1:21" s="296" customFormat="1">
      <c r="A10" s="325"/>
      <c r="B10" s="439" t="s">
        <v>141</v>
      </c>
      <c r="C10" s="440"/>
      <c r="D10" s="885" t="str">
        <f>IF('1. Identificação Ben. Oper.'!D7="","",'1. Identificação Ben. Oper.'!D7)</f>
        <v/>
      </c>
      <c r="E10" s="885"/>
      <c r="F10" s="885"/>
      <c r="G10" s="885"/>
      <c r="H10" s="885"/>
      <c r="I10" s="885"/>
      <c r="J10" s="885"/>
      <c r="K10" s="442"/>
      <c r="L10" s="443"/>
      <c r="M10" s="302"/>
      <c r="N10" s="302"/>
      <c r="O10" s="302"/>
      <c r="P10" s="302"/>
    </row>
    <row r="11" spans="1:21" s="296" customFormat="1">
      <c r="A11" s="325"/>
      <c r="B11" s="441"/>
      <c r="C11" s="336"/>
      <c r="D11" s="426"/>
      <c r="E11" s="426"/>
      <c r="F11" s="426"/>
      <c r="G11" s="426"/>
      <c r="H11" s="427"/>
      <c r="I11" s="428"/>
      <c r="J11" s="429"/>
      <c r="K11" s="426"/>
      <c r="L11" s="426"/>
      <c r="M11" s="303"/>
    </row>
    <row r="12" spans="1:21" s="296" customFormat="1">
      <c r="A12" s="325"/>
      <c r="B12" s="439" t="s">
        <v>142</v>
      </c>
      <c r="C12" s="440"/>
      <c r="D12" s="885" t="str">
        <f>IF('1. Identificação Ben. Oper.'!D6="","",'1. Identificação Ben. Oper.'!D6)</f>
        <v/>
      </c>
      <c r="E12" s="885"/>
      <c r="F12" s="885"/>
      <c r="G12" s="885"/>
      <c r="H12" s="885"/>
      <c r="I12" s="885"/>
      <c r="J12" s="885"/>
      <c r="K12" s="444"/>
      <c r="L12" s="443"/>
      <c r="M12" s="302"/>
      <c r="N12" s="302"/>
      <c r="O12" s="302"/>
      <c r="P12" s="302"/>
    </row>
    <row r="13" spans="1:21" ht="18.75">
      <c r="A13" s="489"/>
      <c r="B13" s="489"/>
      <c r="C13" s="489"/>
      <c r="D13" s="489"/>
      <c r="E13" s="489"/>
      <c r="F13" s="489"/>
      <c r="G13" s="489"/>
      <c r="H13" s="489"/>
      <c r="I13" s="489"/>
      <c r="J13" s="489"/>
      <c r="L13" s="490"/>
      <c r="Q13" s="491"/>
      <c r="R13" s="491"/>
      <c r="S13" s="491"/>
      <c r="T13" s="491"/>
    </row>
    <row r="14" spans="1:21" ht="18.75">
      <c r="A14" s="489"/>
      <c r="B14" s="489"/>
      <c r="C14" s="489"/>
      <c r="D14" s="489"/>
      <c r="E14" s="489"/>
      <c r="F14" s="489"/>
      <c r="G14" s="489"/>
      <c r="H14" s="489"/>
      <c r="I14" s="489"/>
      <c r="J14" s="489"/>
      <c r="L14" s="490"/>
      <c r="Q14" s="491"/>
      <c r="R14" s="491"/>
      <c r="S14" s="491"/>
      <c r="T14" s="491"/>
    </row>
    <row r="15" spans="1:21" ht="18.75">
      <c r="B15" s="891" t="s">
        <v>156</v>
      </c>
      <c r="C15" s="891"/>
      <c r="D15" s="891"/>
      <c r="E15" s="891"/>
      <c r="F15" s="891"/>
      <c r="G15" s="891"/>
      <c r="H15" s="891"/>
      <c r="I15" s="891"/>
      <c r="J15" s="891"/>
      <c r="K15" s="891"/>
      <c r="L15" s="891"/>
      <c r="M15" s="491"/>
      <c r="N15" s="506"/>
      <c r="O15" s="491"/>
      <c r="P15" s="491"/>
      <c r="Q15" s="491"/>
      <c r="R15" s="491"/>
      <c r="S15" s="491"/>
      <c r="T15" s="491"/>
    </row>
    <row r="16" spans="1:21" ht="15.75" thickBot="1">
      <c r="B16" s="492"/>
      <c r="N16" s="508"/>
      <c r="O16" s="493"/>
    </row>
    <row r="17" spans="2:20" s="496" customFormat="1" ht="25.5">
      <c r="B17" s="494" t="s">
        <v>143</v>
      </c>
      <c r="C17" s="495" t="s">
        <v>155</v>
      </c>
      <c r="D17" s="495" t="s">
        <v>144</v>
      </c>
      <c r="E17" s="495" t="s">
        <v>145</v>
      </c>
      <c r="F17" s="495" t="s">
        <v>146</v>
      </c>
      <c r="G17" s="495" t="s">
        <v>147</v>
      </c>
      <c r="H17" s="495" t="s">
        <v>148</v>
      </c>
      <c r="I17" s="892" t="s">
        <v>202</v>
      </c>
      <c r="J17" s="893"/>
      <c r="K17" s="893"/>
      <c r="L17" s="894"/>
      <c r="N17" s="506"/>
      <c r="P17" s="497"/>
    </row>
    <row r="18" spans="2:20" s="304" customFormat="1" ht="38.25" customHeight="1">
      <c r="B18" s="498" t="s">
        <v>151</v>
      </c>
      <c r="C18" s="499" t="s">
        <v>150</v>
      </c>
      <c r="D18" s="500" t="s">
        <v>178</v>
      </c>
      <c r="E18" s="609">
        <f>'2. Medidas c)'!U25</f>
        <v>0</v>
      </c>
      <c r="F18" s="501"/>
      <c r="G18" s="502"/>
      <c r="H18" s="502"/>
      <c r="I18" s="895"/>
      <c r="J18" s="896"/>
      <c r="K18" s="896"/>
      <c r="L18" s="897"/>
      <c r="N18" s="508"/>
    </row>
    <row r="19" spans="2:20" s="304" customFormat="1" ht="41.25" customHeight="1">
      <c r="B19" s="503" t="s">
        <v>203</v>
      </c>
      <c r="C19" s="504" t="s">
        <v>204</v>
      </c>
      <c r="D19" s="505" t="s">
        <v>205</v>
      </c>
      <c r="E19" s="609">
        <f>'2. Medidas c)'!W25</f>
        <v>0</v>
      </c>
      <c r="F19" s="501"/>
      <c r="G19" s="502"/>
      <c r="H19" s="502"/>
      <c r="I19" s="895"/>
      <c r="J19" s="896"/>
      <c r="K19" s="896"/>
      <c r="L19" s="897"/>
      <c r="N19" s="506"/>
    </row>
    <row r="20" spans="2:20" s="304" customFormat="1" ht="41.25" customHeight="1">
      <c r="B20" s="507" t="s">
        <v>29</v>
      </c>
      <c r="C20" s="504" t="s">
        <v>208</v>
      </c>
      <c r="D20" s="505" t="s">
        <v>178</v>
      </c>
      <c r="E20" s="609">
        <f>'1. Identificação Ben. Oper.'!D44</f>
        <v>0</v>
      </c>
      <c r="F20" s="501"/>
      <c r="G20" s="502"/>
      <c r="H20" s="502"/>
      <c r="I20" s="895"/>
      <c r="J20" s="896"/>
      <c r="K20" s="896"/>
      <c r="L20" s="897"/>
      <c r="N20" s="508"/>
    </row>
    <row r="21" spans="2:20" s="304" customFormat="1" ht="41.25" customHeight="1" thickBot="1">
      <c r="B21" s="509" t="s">
        <v>206</v>
      </c>
      <c r="C21" s="510" t="s">
        <v>207</v>
      </c>
      <c r="D21" s="511" t="s">
        <v>178</v>
      </c>
      <c r="E21" s="610">
        <f>E20-E18</f>
        <v>0</v>
      </c>
      <c r="F21" s="512"/>
      <c r="G21" s="513"/>
      <c r="H21" s="513"/>
      <c r="I21" s="886"/>
      <c r="J21" s="887"/>
      <c r="K21" s="887"/>
      <c r="L21" s="888"/>
      <c r="N21" s="506"/>
      <c r="P21" s="3"/>
      <c r="Q21" s="3"/>
      <c r="R21" s="3"/>
      <c r="S21" s="3"/>
      <c r="T21" s="3"/>
    </row>
    <row r="22" spans="2:20" s="304" customFormat="1" ht="41.25" customHeight="1"/>
    <row r="23" spans="2:20" s="304" customFormat="1">
      <c r="B23" s="514" t="s">
        <v>245</v>
      </c>
      <c r="C23" s="343"/>
      <c r="D23" s="343"/>
      <c r="E23" s="515"/>
      <c r="F23" s="343"/>
      <c r="G23" s="343"/>
      <c r="H23" s="343"/>
      <c r="I23" s="343"/>
      <c r="J23" s="343"/>
      <c r="K23" s="343"/>
    </row>
    <row r="24" spans="2:20" s="304" customFormat="1" ht="13.5" customHeight="1" thickBot="1">
      <c r="B24" s="343"/>
      <c r="C24" s="343"/>
      <c r="D24" s="343"/>
      <c r="E24" s="343"/>
      <c r="F24" s="343"/>
      <c r="G24" s="343"/>
      <c r="H24" s="343"/>
      <c r="I24" s="343"/>
      <c r="J24" s="343"/>
      <c r="K24" s="343"/>
    </row>
    <row r="25" spans="2:20" s="304" customFormat="1" ht="18.75" customHeight="1" thickBot="1">
      <c r="B25" s="889" t="s">
        <v>278</v>
      </c>
      <c r="C25" s="890"/>
      <c r="D25" s="607" t="s">
        <v>210</v>
      </c>
      <c r="E25" s="608">
        <f>'2. Medidas c)'!I25</f>
        <v>0</v>
      </c>
      <c r="F25" s="343"/>
      <c r="G25" s="343"/>
      <c r="H25" s="343"/>
      <c r="I25" s="343"/>
      <c r="J25" s="343"/>
      <c r="K25" s="343"/>
    </row>
    <row r="26" spans="2:20" ht="18" customHeight="1" thickBot="1">
      <c r="B26" s="889" t="s">
        <v>209</v>
      </c>
      <c r="C26" s="890"/>
      <c r="D26" s="607" t="s">
        <v>210</v>
      </c>
      <c r="E26" s="608">
        <f>'2. Medidas c)'!N25</f>
        <v>0</v>
      </c>
    </row>
  </sheetData>
  <sheetProtection password="CCE5" sheet="1" objects="1" scenarios="1" selectLockedCells="1"/>
  <mergeCells count="13">
    <mergeCell ref="I21:L21"/>
    <mergeCell ref="B26:C26"/>
    <mergeCell ref="B15:L15"/>
    <mergeCell ref="I17:L17"/>
    <mergeCell ref="I18:L18"/>
    <mergeCell ref="I19:L19"/>
    <mergeCell ref="I20:L20"/>
    <mergeCell ref="B25:C25"/>
    <mergeCell ref="B1:L1"/>
    <mergeCell ref="D8:E8"/>
    <mergeCell ref="I8:J8"/>
    <mergeCell ref="D10:J10"/>
    <mergeCell ref="D12:J12"/>
  </mergeCells>
  <conditionalFormatting sqref="I18:I21">
    <cfRule type="containsBlanks" dxfId="6" priority="3">
      <formula>LEN(TRIM(I18))=0</formula>
    </cfRule>
  </conditionalFormatting>
  <conditionalFormatting sqref="F18:F21">
    <cfRule type="containsBlanks" dxfId="5" priority="1">
      <formula>LEN(TRIM(F18))=0</formula>
    </cfRule>
  </conditionalFormatting>
  <conditionalFormatting sqref="G18:H21">
    <cfRule type="containsBlanks" dxfId="4" priority="2">
      <formula>LEN(TRIM(G18))=0</formula>
    </cfRule>
  </conditionalFormatting>
  <dataValidations count="1">
    <dataValidation type="list" allowBlank="1" showInputMessage="1" showErrorMessage="1" sqref="G18:H21">
      <formula1>$O$4:$O$5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AJ51"/>
  <sheetViews>
    <sheetView tabSelected="1" zoomScaleNormal="100" workbookViewId="0">
      <selection activeCell="E14" sqref="E14:G14"/>
    </sheetView>
  </sheetViews>
  <sheetFormatPr defaultColWidth="9.140625" defaultRowHeight="15"/>
  <cols>
    <col min="1" max="1" width="3.42578125" style="4" customWidth="1"/>
    <col min="2" max="2" width="36.5703125" style="4" bestFit="1" customWidth="1"/>
    <col min="3" max="3" width="35.5703125" style="4" customWidth="1"/>
    <col min="4" max="4" width="7.42578125" style="4" customWidth="1"/>
    <col min="5" max="5" width="29" style="4" customWidth="1"/>
    <col min="6" max="6" width="28.7109375" style="4" customWidth="1"/>
    <col min="7" max="7" width="27.28515625" style="4" bestFit="1" customWidth="1"/>
    <col min="8" max="8" width="16" style="4" bestFit="1" customWidth="1"/>
    <col min="9" max="9" width="18.140625" style="4" customWidth="1"/>
    <col min="10" max="10" width="9.140625" style="4" customWidth="1"/>
    <col min="11" max="11" width="5.85546875" style="4" customWidth="1"/>
    <col min="12" max="12" width="13.42578125" style="4" bestFit="1" customWidth="1"/>
    <col min="13" max="13" width="14.5703125" style="4" customWidth="1"/>
    <col min="14" max="14" width="13.140625" style="4" customWidth="1"/>
    <col min="15" max="15" width="17" style="4" bestFit="1" customWidth="1"/>
    <col min="16" max="16384" width="9.140625" style="4"/>
  </cols>
  <sheetData>
    <row r="1" spans="2:12" thickBot="1"/>
    <row r="2" spans="2:12" s="696" customFormat="1" thickBot="1">
      <c r="B2" s="760"/>
      <c r="C2" s="761"/>
      <c r="D2" s="730"/>
      <c r="E2" s="904" t="str">
        <f>IF('1. Identificação Ben. Oper.'!D7="","",'1. Identificação Ben. Oper.'!D7)</f>
        <v/>
      </c>
      <c r="F2" s="905"/>
      <c r="G2" s="906"/>
      <c r="H2" s="726"/>
      <c r="I2" s="725"/>
      <c r="J2" s="927" t="s">
        <v>325</v>
      </c>
      <c r="K2" s="927"/>
      <c r="L2" s="725"/>
    </row>
    <row r="3" spans="2:12" s="696" customFormat="1" thickBot="1">
      <c r="B3" s="760"/>
      <c r="C3" s="761"/>
      <c r="D3" s="730"/>
      <c r="E3" s="928" t="s">
        <v>297</v>
      </c>
      <c r="F3" s="929"/>
      <c r="G3" s="930"/>
      <c r="H3" s="726"/>
      <c r="I3" s="725"/>
      <c r="J3" s="724" t="s">
        <v>324</v>
      </c>
      <c r="K3" s="715">
        <v>7</v>
      </c>
      <c r="L3" s="725"/>
    </row>
    <row r="4" spans="2:12" s="696" customFormat="1" ht="30">
      <c r="B4" s="760"/>
      <c r="C4" s="761"/>
      <c r="D4" s="723"/>
      <c r="E4" s="732" t="s">
        <v>323</v>
      </c>
      <c r="F4" s="731" t="s">
        <v>322</v>
      </c>
      <c r="G4" s="717" t="s">
        <v>316</v>
      </c>
      <c r="H4" s="726"/>
      <c r="I4" s="700"/>
      <c r="J4" s="721" t="s">
        <v>321</v>
      </c>
      <c r="K4" s="715">
        <v>6</v>
      </c>
      <c r="L4" s="700"/>
    </row>
    <row r="5" spans="2:12" s="696" customFormat="1" thickBot="1">
      <c r="B5" s="760"/>
      <c r="C5" s="761"/>
      <c r="D5" s="730"/>
      <c r="E5" s="729">
        <f>'1. Identificação Ben. Oper.'!D45</f>
        <v>0</v>
      </c>
      <c r="F5" s="763">
        <f>'6. Indicadores'!E18*0.000086</f>
        <v>0</v>
      </c>
      <c r="G5" s="727" t="e">
        <f>+F5/E5</f>
        <v>#DIV/0!</v>
      </c>
      <c r="H5" s="726"/>
      <c r="I5" s="725"/>
      <c r="J5" s="724" t="s">
        <v>320</v>
      </c>
      <c r="K5" s="715">
        <v>5</v>
      </c>
      <c r="L5" s="700"/>
    </row>
    <row r="6" spans="2:12" s="696" customFormat="1" thickBot="1">
      <c r="B6" s="760"/>
      <c r="C6" s="761"/>
      <c r="D6" s="730"/>
      <c r="E6" s="928" t="s">
        <v>293</v>
      </c>
      <c r="F6" s="929"/>
      <c r="G6" s="930"/>
      <c r="H6" s="726"/>
      <c r="I6" s="725"/>
      <c r="J6" s="724" t="s">
        <v>319</v>
      </c>
      <c r="K6" s="715">
        <v>4</v>
      </c>
      <c r="L6" s="700"/>
    </row>
    <row r="7" spans="2:12" s="696" customFormat="1" ht="30">
      <c r="B7" s="760"/>
      <c r="C7" s="761"/>
      <c r="D7" s="730"/>
      <c r="E7" s="732" t="s">
        <v>318</v>
      </c>
      <c r="F7" s="731" t="s">
        <v>317</v>
      </c>
      <c r="G7" s="717" t="s">
        <v>316</v>
      </c>
      <c r="H7" s="726"/>
      <c r="I7" s="725"/>
      <c r="J7" s="724" t="s">
        <v>315</v>
      </c>
      <c r="K7" s="715">
        <v>3</v>
      </c>
      <c r="L7" s="700"/>
    </row>
    <row r="8" spans="2:12" s="696" customFormat="1" thickBot="1">
      <c r="B8" s="760"/>
      <c r="C8" s="761"/>
      <c r="D8" s="730"/>
      <c r="E8" s="762">
        <f>'1. Identificação Ben. Oper.'!D43*'9. Fatores de conversão'!I6/1000</f>
        <v>0</v>
      </c>
      <c r="F8" s="728">
        <f>'2. Medidas c)'!W25</f>
        <v>0</v>
      </c>
      <c r="G8" s="727" t="e">
        <f>F8/E8</f>
        <v>#DIV/0!</v>
      </c>
      <c r="H8" s="726"/>
      <c r="I8" s="725"/>
      <c r="J8" s="724" t="s">
        <v>314</v>
      </c>
      <c r="K8" s="715">
        <v>2</v>
      </c>
      <c r="L8" s="700"/>
    </row>
    <row r="9" spans="2:12" s="696" customFormat="1" thickBot="1">
      <c r="B9" s="720" t="s">
        <v>349</v>
      </c>
      <c r="C9" s="708">
        <f>'5. Apoio reembolsável'!F30</f>
        <v>0</v>
      </c>
      <c r="D9" s="723"/>
      <c r="E9" s="928" t="s">
        <v>288</v>
      </c>
      <c r="F9" s="929"/>
      <c r="G9" s="930"/>
      <c r="H9" s="722"/>
      <c r="I9" s="700"/>
      <c r="J9" s="721" t="s">
        <v>313</v>
      </c>
      <c r="K9" s="715">
        <v>1</v>
      </c>
      <c r="L9" s="700"/>
    </row>
    <row r="10" spans="2:12" s="696" customFormat="1" ht="30">
      <c r="B10" s="720" t="s">
        <v>312</v>
      </c>
      <c r="C10" s="708">
        <f>'5. Apoio reembolsável'!F31</f>
        <v>0</v>
      </c>
      <c r="E10" s="719" t="s">
        <v>311</v>
      </c>
      <c r="F10" s="718" t="s">
        <v>310</v>
      </c>
      <c r="G10" s="717" t="s">
        <v>309</v>
      </c>
      <c r="J10" s="716" t="s">
        <v>308</v>
      </c>
      <c r="K10" s="715">
        <v>0</v>
      </c>
      <c r="L10" s="714"/>
    </row>
    <row r="11" spans="2:12" s="696" customFormat="1" ht="29.45" thickBot="1">
      <c r="B11" s="713" t="s">
        <v>350</v>
      </c>
      <c r="C11" s="708">
        <f>'5. Apoio reembolsável'!F33-F32</f>
        <v>0</v>
      </c>
      <c r="D11" s="541"/>
      <c r="E11" s="712">
        <f>B17</f>
        <v>0</v>
      </c>
      <c r="F11" s="711">
        <f>F5</f>
        <v>0</v>
      </c>
      <c r="G11" s="710" t="e">
        <f>E11/F11</f>
        <v>#DIV/0!</v>
      </c>
    </row>
    <row r="12" spans="2:12" s="696" customFormat="1" ht="30.75" thickBot="1">
      <c r="B12" s="709" t="s">
        <v>307</v>
      </c>
      <c r="C12" s="708">
        <f>'5. Apoio reembolsável'!F32</f>
        <v>0</v>
      </c>
      <c r="D12" s="704"/>
      <c r="E12" s="931" t="s">
        <v>283</v>
      </c>
      <c r="F12" s="932"/>
      <c r="G12" s="933"/>
      <c r="H12" s="57"/>
      <c r="I12" s="541"/>
      <c r="J12" s="541"/>
      <c r="K12" s="541"/>
      <c r="L12" s="541"/>
    </row>
    <row r="13" spans="2:12" s="696" customFormat="1" ht="30.75" thickBot="1">
      <c r="B13" s="224" t="s">
        <v>59</v>
      </c>
      <c r="C13" s="708">
        <f>'5. Apoio reembolsável'!E36</f>
        <v>0</v>
      </c>
      <c r="D13" s="701"/>
      <c r="E13" s="918" t="s">
        <v>306</v>
      </c>
      <c r="F13" s="919"/>
      <c r="G13" s="920"/>
      <c r="H13" s="57"/>
      <c r="I13" s="707"/>
      <c r="J13" s="541"/>
      <c r="K13" s="541"/>
      <c r="L13" s="541"/>
    </row>
    <row r="14" spans="2:12" s="696" customFormat="1" thickBot="1">
      <c r="B14" s="706"/>
      <c r="C14" s="705"/>
      <c r="D14" s="701"/>
      <c r="E14" s="921"/>
      <c r="F14" s="922"/>
      <c r="G14" s="923"/>
      <c r="H14" s="704"/>
      <c r="I14" s="704"/>
      <c r="J14" s="704"/>
      <c r="K14" s="704"/>
      <c r="L14" s="704"/>
    </row>
    <row r="15" spans="2:12" s="696" customFormat="1" thickBot="1">
      <c r="B15" s="19"/>
      <c r="C15" s="703"/>
      <c r="D15" s="701"/>
      <c r="E15" s="924"/>
      <c r="F15" s="924"/>
      <c r="G15" s="924"/>
      <c r="H15" s="702"/>
      <c r="I15" s="18"/>
      <c r="J15" s="701"/>
      <c r="K15" s="701"/>
      <c r="L15" s="700"/>
    </row>
    <row r="16" spans="2:12" s="696" customFormat="1" ht="16.5" thickBot="1">
      <c r="B16" s="699" t="s">
        <v>305</v>
      </c>
      <c r="D16" s="698"/>
      <c r="E16" s="697"/>
      <c r="F16" s="925"/>
      <c r="G16" s="925"/>
    </row>
    <row r="17" spans="2:8" ht="16.149999999999999" thickBot="1">
      <c r="B17" s="695">
        <f>C13</f>
        <v>0</v>
      </c>
      <c r="E17" s="694"/>
      <c r="F17" s="926"/>
      <c r="G17" s="926"/>
    </row>
    <row r="18" spans="2:8" ht="15.75" thickBot="1"/>
    <row r="19" spans="2:8" ht="15.75" thickBot="1">
      <c r="B19" s="902" t="s">
        <v>304</v>
      </c>
      <c r="C19" s="903"/>
    </row>
    <row r="20" spans="2:8" ht="15.75" thickBot="1">
      <c r="B20" s="907" t="s">
        <v>303</v>
      </c>
      <c r="C20" s="908"/>
    </row>
    <row r="21" spans="2:8" ht="15.75" customHeight="1" thickBot="1">
      <c r="B21" s="693" t="s">
        <v>297</v>
      </c>
      <c r="C21" s="692" t="e">
        <f>IF(G5&gt;=40%,5,IF(G5&gt;=30%,3,1))</f>
        <v>#DIV/0!</v>
      </c>
      <c r="E21" s="112"/>
      <c r="F21" s="909" t="s">
        <v>302</v>
      </c>
      <c r="G21" s="910"/>
    </row>
    <row r="22" spans="2:8" ht="15.75" thickBot="1">
      <c r="B22" s="691" t="s">
        <v>293</v>
      </c>
      <c r="C22" s="690" t="e">
        <f>IF(G8&lt;3%,1,IF(G8&lt;=10%,3,5))</f>
        <v>#DIV/0!</v>
      </c>
      <c r="E22" s="689" t="s">
        <v>160</v>
      </c>
      <c r="F22" s="688" t="str">
        <f>IF('6. Indicadores'!E18=0,"",IF(G22&gt;=30%,"Projeto Elegível","Projeto Não Elegível!"))</f>
        <v/>
      </c>
      <c r="G22" s="687" t="str">
        <f>IF('1. Identificação Ben. Oper.'!D44=0,"",'6. Indicadores'!E18/'1. Identificação Ben. Oper.'!D44)</f>
        <v/>
      </c>
    </row>
    <row r="23" spans="2:8">
      <c r="B23" s="686" t="s">
        <v>288</v>
      </c>
      <c r="C23" s="685" t="e">
        <f>IF(G11&lt;=6000,5,IF(G11&lt;12000,3,1))</f>
        <v>#DIV/0!</v>
      </c>
    </row>
    <row r="24" spans="2:8">
      <c r="B24" s="684" t="s">
        <v>283</v>
      </c>
      <c r="C24" s="683" t="str">
        <f>IF(E14="","Preencher a informação em E14:G14!",IF(E14="Sim",5,1))</f>
        <v>Preencher a informação em E14:G14!</v>
      </c>
      <c r="E24" s="677"/>
    </row>
    <row r="25" spans="2:8" ht="15.75" thickBot="1">
      <c r="B25" s="682"/>
      <c r="C25" s="681"/>
      <c r="E25" s="680"/>
    </row>
    <row r="26" spans="2:8" ht="16.5" thickBot="1">
      <c r="B26" s="911" t="s">
        <v>301</v>
      </c>
      <c r="C26" s="912"/>
    </row>
    <row r="27" spans="2:8" ht="16.5" thickBot="1">
      <c r="B27" s="679" t="s">
        <v>300</v>
      </c>
      <c r="C27" s="678" t="e">
        <f>C21*0.3+C22*0.3+C23*0.35+C24*0.05</f>
        <v>#DIV/0!</v>
      </c>
      <c r="E27" s="677"/>
    </row>
    <row r="29" spans="2:8" ht="15.75" thickBot="1"/>
    <row r="30" spans="2:8" ht="25.5" customHeight="1" thickBot="1">
      <c r="B30" s="913" t="s">
        <v>299</v>
      </c>
      <c r="C30" s="914"/>
      <c r="D30" s="914"/>
      <c r="E30" s="914"/>
      <c r="F30" s="914"/>
      <c r="G30" s="914"/>
      <c r="H30" s="676" t="s">
        <v>298</v>
      </c>
    </row>
    <row r="31" spans="2:8" ht="15" customHeight="1">
      <c r="B31" s="915" t="s">
        <v>297</v>
      </c>
      <c r="C31" s="898" t="s">
        <v>296</v>
      </c>
      <c r="D31" s="899"/>
      <c r="E31" s="899"/>
      <c r="F31" s="899"/>
      <c r="G31" s="899"/>
      <c r="H31" s="675">
        <v>5</v>
      </c>
    </row>
    <row r="32" spans="2:8" ht="15" customHeight="1">
      <c r="B32" s="916"/>
      <c r="C32" s="900" t="s">
        <v>295</v>
      </c>
      <c r="D32" s="901"/>
      <c r="E32" s="901"/>
      <c r="F32" s="901"/>
      <c r="G32" s="901"/>
      <c r="H32" s="673">
        <v>3</v>
      </c>
    </row>
    <row r="33" spans="2:8" ht="15" customHeight="1" thickBot="1">
      <c r="B33" s="917"/>
      <c r="C33" s="900"/>
      <c r="D33" s="901"/>
      <c r="E33" s="901"/>
      <c r="F33" s="901"/>
      <c r="G33" s="901"/>
      <c r="H33" s="674"/>
    </row>
    <row r="34" spans="2:8" ht="24.75" customHeight="1" thickBot="1">
      <c r="B34" s="913" t="s">
        <v>294</v>
      </c>
      <c r="C34" s="914"/>
      <c r="D34" s="914"/>
      <c r="E34" s="914"/>
      <c r="F34" s="914"/>
      <c r="G34" s="934"/>
      <c r="H34" s="672"/>
    </row>
    <row r="35" spans="2:8" ht="15" customHeight="1">
      <c r="B35" s="935" t="s">
        <v>293</v>
      </c>
      <c r="C35" s="938" t="s">
        <v>292</v>
      </c>
      <c r="D35" s="939"/>
      <c r="E35" s="939"/>
      <c r="F35" s="939"/>
      <c r="G35" s="939"/>
      <c r="H35" s="671">
        <v>5</v>
      </c>
    </row>
    <row r="36" spans="2:8" ht="15" customHeight="1">
      <c r="B36" s="936"/>
      <c r="C36" s="900" t="s">
        <v>291</v>
      </c>
      <c r="D36" s="901"/>
      <c r="E36" s="901"/>
      <c r="F36" s="901"/>
      <c r="G36" s="901"/>
      <c r="H36" s="673">
        <v>3</v>
      </c>
    </row>
    <row r="37" spans="2:8" ht="15.75" customHeight="1" thickBot="1">
      <c r="B37" s="937"/>
      <c r="C37" s="940" t="s">
        <v>290</v>
      </c>
      <c r="D37" s="941"/>
      <c r="E37" s="941"/>
      <c r="F37" s="941"/>
      <c r="G37" s="941"/>
      <c r="H37" s="670">
        <v>1</v>
      </c>
    </row>
    <row r="38" spans="2:8" ht="24.75" customHeight="1" thickBot="1">
      <c r="B38" s="913" t="s">
        <v>289</v>
      </c>
      <c r="C38" s="914"/>
      <c r="D38" s="914"/>
      <c r="E38" s="914"/>
      <c r="F38" s="914"/>
      <c r="G38" s="934"/>
      <c r="H38" s="672"/>
    </row>
    <row r="39" spans="2:8" ht="15" customHeight="1">
      <c r="B39" s="935" t="s">
        <v>288</v>
      </c>
      <c r="C39" s="948" t="s">
        <v>287</v>
      </c>
      <c r="D39" s="949"/>
      <c r="E39" s="949"/>
      <c r="F39" s="949"/>
      <c r="G39" s="949"/>
      <c r="H39" s="671">
        <v>5</v>
      </c>
    </row>
    <row r="40" spans="2:8" ht="15" customHeight="1">
      <c r="B40" s="936"/>
      <c r="C40" s="950" t="s">
        <v>286</v>
      </c>
      <c r="D40" s="951"/>
      <c r="E40" s="951"/>
      <c r="F40" s="951"/>
      <c r="G40" s="951"/>
      <c r="H40" s="673">
        <v>3</v>
      </c>
    </row>
    <row r="41" spans="2:8" ht="15" customHeight="1" thickBot="1">
      <c r="B41" s="937"/>
      <c r="C41" s="952" t="s">
        <v>285</v>
      </c>
      <c r="D41" s="953"/>
      <c r="E41" s="953"/>
      <c r="F41" s="953"/>
      <c r="G41" s="953"/>
      <c r="H41" s="670">
        <v>1</v>
      </c>
    </row>
    <row r="42" spans="2:8" ht="26.25" customHeight="1" thickBot="1">
      <c r="B42" s="913" t="s">
        <v>284</v>
      </c>
      <c r="C42" s="914"/>
      <c r="D42" s="914"/>
      <c r="E42" s="914"/>
      <c r="F42" s="914"/>
      <c r="G42" s="934"/>
      <c r="H42" s="672"/>
    </row>
    <row r="43" spans="2:8" ht="15.75" customHeight="1">
      <c r="B43" s="935" t="s">
        <v>283</v>
      </c>
      <c r="C43" s="898" t="s">
        <v>282</v>
      </c>
      <c r="D43" s="899"/>
      <c r="E43" s="899"/>
      <c r="F43" s="899"/>
      <c r="G43" s="945"/>
      <c r="H43" s="671">
        <v>5</v>
      </c>
    </row>
    <row r="44" spans="2:8" ht="15" customHeight="1">
      <c r="B44" s="937"/>
      <c r="C44" s="946" t="s">
        <v>281</v>
      </c>
      <c r="D44" s="947"/>
      <c r="E44" s="947"/>
      <c r="F44" s="947"/>
      <c r="G44" s="947"/>
      <c r="H44" s="670">
        <v>1</v>
      </c>
    </row>
    <row r="45" spans="2:8" ht="28.5" customHeight="1">
      <c r="B45" s="942"/>
      <c r="C45" s="942"/>
      <c r="D45" s="942"/>
      <c r="E45" s="942"/>
      <c r="F45" s="942"/>
      <c r="G45" s="942"/>
      <c r="H45" s="669"/>
    </row>
    <row r="46" spans="2:8" ht="15" customHeight="1">
      <c r="B46" s="943"/>
      <c r="C46" s="944"/>
      <c r="D46" s="944"/>
      <c r="E46" s="944"/>
      <c r="F46" s="944"/>
      <c r="G46" s="944"/>
      <c r="H46" s="668"/>
    </row>
    <row r="47" spans="2:8" ht="15" customHeight="1">
      <c r="B47" s="943"/>
      <c r="C47" s="944"/>
      <c r="D47" s="944"/>
      <c r="E47" s="944"/>
      <c r="F47" s="944"/>
      <c r="G47" s="944"/>
      <c r="H47" s="668"/>
    </row>
    <row r="48" spans="2:8" ht="15" customHeight="1">
      <c r="B48" s="943"/>
      <c r="C48" s="944"/>
      <c r="D48" s="944"/>
      <c r="E48" s="944"/>
      <c r="F48" s="944"/>
      <c r="G48" s="944"/>
      <c r="H48" s="668"/>
    </row>
    <row r="50" spans="10:36" ht="38.25">
      <c r="J50" s="667" t="s">
        <v>280</v>
      </c>
      <c r="AJ50" s="666"/>
    </row>
    <row r="51" spans="10:36">
      <c r="AJ51" s="665"/>
    </row>
  </sheetData>
  <sheetProtection password="CCE5" sheet="1" objects="1" scenarios="1" selectLockedCells="1"/>
  <protectedRanges>
    <protectedRange sqref="I15:K15" name="Folha8"/>
    <protectedRange sqref="C14:D14 D13" name="Folha8_1"/>
    <protectedRange sqref="B9" name="Folha5_3"/>
    <protectedRange sqref="H9" name="Folha5"/>
  </protectedRanges>
  <mergeCells count="39">
    <mergeCell ref="B38:G38"/>
    <mergeCell ref="B45:G45"/>
    <mergeCell ref="B46:B48"/>
    <mergeCell ref="C46:G46"/>
    <mergeCell ref="C47:G47"/>
    <mergeCell ref="C48:G48"/>
    <mergeCell ref="B43:B44"/>
    <mergeCell ref="C43:G43"/>
    <mergeCell ref="C44:G44"/>
    <mergeCell ref="B39:B41"/>
    <mergeCell ref="C39:G39"/>
    <mergeCell ref="C40:G40"/>
    <mergeCell ref="C41:G41"/>
    <mergeCell ref="B42:G42"/>
    <mergeCell ref="B34:G34"/>
    <mergeCell ref="B35:B37"/>
    <mergeCell ref="C35:G35"/>
    <mergeCell ref="C36:G36"/>
    <mergeCell ref="C37:G37"/>
    <mergeCell ref="J2:K2"/>
    <mergeCell ref="E3:G3"/>
    <mergeCell ref="E6:G6"/>
    <mergeCell ref="E9:G9"/>
    <mergeCell ref="E12:G12"/>
    <mergeCell ref="C31:G31"/>
    <mergeCell ref="C32:G32"/>
    <mergeCell ref="C33:G33"/>
    <mergeCell ref="B19:C19"/>
    <mergeCell ref="E2:G2"/>
    <mergeCell ref="B20:C20"/>
    <mergeCell ref="F21:G21"/>
    <mergeCell ref="B26:C26"/>
    <mergeCell ref="B30:G30"/>
    <mergeCell ref="B31:B33"/>
    <mergeCell ref="E13:G13"/>
    <mergeCell ref="E14:G14"/>
    <mergeCell ref="E15:G15"/>
    <mergeCell ref="F16:G16"/>
    <mergeCell ref="F17:G17"/>
  </mergeCells>
  <conditionalFormatting sqref="L10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F22">
    <cfRule type="containsText" dxfId="1" priority="1" operator="containsText" text="Projeto Não Elegível!">
      <formula>NOT(ISERROR(SEARCH("Projeto Não Elegível!",F22)))</formula>
    </cfRule>
    <cfRule type="containsText" dxfId="0" priority="2" operator="containsText" text="Projeto Elegível">
      <formula>NOT(ISERROR(SEARCH("Projeto Elegível",F22)))</formula>
    </cfRule>
  </conditionalFormatting>
  <dataValidations count="1">
    <dataValidation type="list" allowBlank="1" showInputMessage="1" showErrorMessage="1" sqref="E14:G14">
      <formula1>"Sim, Não"</formula1>
    </dataValidation>
  </dataValidations>
  <pageMargins left="0.25" right="0.25" top="0.75" bottom="0.75" header="0.3" footer="0.3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B1:BL42"/>
  <sheetViews>
    <sheetView showGridLines="0" zoomScaleNormal="100" workbookViewId="0">
      <selection activeCell="F33" sqref="F33"/>
    </sheetView>
  </sheetViews>
  <sheetFormatPr defaultColWidth="9.140625" defaultRowHeight="12"/>
  <cols>
    <col min="1" max="1" width="9.140625" style="163"/>
    <col min="2" max="2" width="3.42578125" style="163" customWidth="1"/>
    <col min="3" max="3" width="15.7109375" style="163" customWidth="1"/>
    <col min="4" max="4" width="18.5703125" style="163" customWidth="1"/>
    <col min="5" max="5" width="24.140625" style="163" customWidth="1"/>
    <col min="6" max="6" width="15.85546875" style="163" customWidth="1"/>
    <col min="7" max="7" width="31.140625" style="163" bestFit="1" customWidth="1"/>
    <col min="8" max="8" width="11.42578125" style="163" customWidth="1"/>
    <col min="9" max="9" width="12.5703125" style="163" bestFit="1" customWidth="1"/>
    <col min="10" max="10" width="12.85546875" style="163" bestFit="1" customWidth="1"/>
    <col min="11" max="11" width="7.5703125" style="163" bestFit="1" customWidth="1"/>
    <col min="12" max="12" width="5.28515625" style="163" bestFit="1" customWidth="1"/>
    <col min="13" max="13" width="3.140625" style="163" customWidth="1"/>
    <col min="14" max="14" width="9.140625" style="163"/>
    <col min="15" max="15" width="13.140625" style="163" bestFit="1" customWidth="1"/>
    <col min="16" max="16384" width="9.140625" style="163"/>
  </cols>
  <sheetData>
    <row r="1" spans="2:64" ht="12.75" thickBot="1"/>
    <row r="2" spans="2:64"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/>
    </row>
    <row r="3" spans="2:64" ht="27" customHeight="1">
      <c r="B3" s="167"/>
      <c r="C3" s="954" t="s">
        <v>159</v>
      </c>
      <c r="D3" s="954"/>
      <c r="E3" s="954"/>
      <c r="F3" s="168"/>
      <c r="G3" s="168"/>
      <c r="H3" s="168"/>
      <c r="I3" s="168"/>
      <c r="J3" s="168"/>
      <c r="K3" s="169"/>
      <c r="L3" s="169"/>
      <c r="M3" s="170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</row>
    <row r="4" spans="2:64" ht="15" customHeight="1" thickBot="1">
      <c r="B4" s="167"/>
      <c r="C4" s="169"/>
      <c r="D4" s="169"/>
      <c r="E4" s="168"/>
      <c r="F4" s="168"/>
      <c r="G4" s="168"/>
      <c r="H4" s="168"/>
      <c r="I4" s="168"/>
      <c r="J4" s="168"/>
      <c r="K4" s="169"/>
      <c r="L4" s="169"/>
      <c r="M4" s="170"/>
    </row>
    <row r="5" spans="2:64" ht="15" customHeight="1">
      <c r="B5" s="167"/>
      <c r="C5" s="958" t="s">
        <v>187</v>
      </c>
      <c r="D5" s="959"/>
      <c r="E5" s="245">
        <f>'5. Apoio reembolsável'!E33</f>
        <v>0</v>
      </c>
      <c r="F5" s="172"/>
      <c r="G5" s="168"/>
      <c r="H5" s="168"/>
      <c r="I5" s="168"/>
      <c r="J5" s="168"/>
      <c r="K5" s="169"/>
      <c r="L5" s="169"/>
      <c r="M5" s="170"/>
    </row>
    <row r="6" spans="2:64" ht="16.5" customHeight="1">
      <c r="B6" s="167"/>
      <c r="C6" s="960" t="s">
        <v>267</v>
      </c>
      <c r="D6" s="961"/>
      <c r="E6" s="618">
        <f>+SUMPRODUCT('2. Medidas c)'!Y10:Y19,'2. Medidas c)'!Z10:Z19)+SUMPRODUCT('2. Medidas c)'!Y20:Y24,'2. Medidas c)'!Z20:Z24)</f>
        <v>0</v>
      </c>
      <c r="F6" s="172"/>
      <c r="G6" s="168"/>
      <c r="H6" s="168"/>
      <c r="I6" s="168"/>
      <c r="J6" s="168"/>
      <c r="K6" s="169"/>
      <c r="L6" s="169"/>
      <c r="M6" s="170"/>
    </row>
    <row r="7" spans="2:64" ht="15" customHeight="1">
      <c r="B7" s="167"/>
      <c r="C7" s="962" t="s">
        <v>38</v>
      </c>
      <c r="D7" s="963"/>
      <c r="E7" s="246">
        <v>0.04</v>
      </c>
      <c r="F7" s="168"/>
      <c r="G7" s="168"/>
      <c r="H7" s="168"/>
      <c r="I7" s="168"/>
      <c r="J7" s="168"/>
      <c r="K7" s="169"/>
      <c r="L7" s="169"/>
      <c r="M7" s="170"/>
    </row>
    <row r="8" spans="2:64" ht="15" customHeight="1">
      <c r="B8" s="167"/>
      <c r="C8" s="962" t="s">
        <v>23</v>
      </c>
      <c r="D8" s="963"/>
      <c r="E8" s="247">
        <f>SUM(I16:I41)</f>
        <v>0</v>
      </c>
      <c r="F8" s="388"/>
      <c r="G8" s="168"/>
      <c r="H8" s="168"/>
      <c r="I8" s="168"/>
      <c r="J8" s="168"/>
      <c r="K8" s="169"/>
      <c r="L8" s="169"/>
      <c r="M8" s="170"/>
    </row>
    <row r="9" spans="2:64" ht="15" customHeight="1" thickBot="1">
      <c r="B9" s="167"/>
      <c r="C9" s="964" t="s">
        <v>13</v>
      </c>
      <c r="D9" s="965"/>
      <c r="E9" s="248">
        <f>IF(E5=0,0,LARGE(K16:K41,1))</f>
        <v>0</v>
      </c>
      <c r="F9" s="168"/>
      <c r="G9" s="168"/>
      <c r="H9" s="168"/>
      <c r="I9" s="168"/>
      <c r="J9" s="168"/>
      <c r="K9" s="169"/>
      <c r="L9" s="169"/>
      <c r="M9" s="170"/>
    </row>
    <row r="10" spans="2:64" ht="15" customHeight="1">
      <c r="B10" s="167"/>
      <c r="C10" s="169"/>
      <c r="D10" s="173"/>
      <c r="E10" s="168"/>
      <c r="F10" s="168"/>
      <c r="G10" s="168"/>
      <c r="H10" s="168"/>
      <c r="I10" s="168"/>
      <c r="J10" s="168"/>
      <c r="K10" s="174"/>
      <c r="L10" s="169"/>
      <c r="M10" s="170"/>
    </row>
    <row r="11" spans="2:64" ht="15" customHeight="1">
      <c r="B11" s="167"/>
      <c r="E11" s="168"/>
      <c r="F11" s="175"/>
      <c r="G11" s="175"/>
      <c r="H11" s="175"/>
      <c r="I11" s="175"/>
      <c r="J11" s="175"/>
      <c r="K11" s="169"/>
      <c r="L11" s="169"/>
      <c r="M11" s="170"/>
    </row>
    <row r="12" spans="2:64" ht="15" customHeight="1">
      <c r="B12" s="167"/>
      <c r="C12" s="169"/>
      <c r="D12" s="176"/>
      <c r="E12" s="168"/>
      <c r="F12" s="175"/>
      <c r="G12" s="168"/>
      <c r="H12" s="172"/>
      <c r="I12" s="177"/>
      <c r="J12" s="169"/>
      <c r="K12" s="174"/>
      <c r="L12" s="169"/>
      <c r="M12" s="170"/>
    </row>
    <row r="13" spans="2:64" ht="15" customHeight="1" thickBot="1">
      <c r="B13" s="167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70"/>
    </row>
    <row r="14" spans="2:64" ht="12.75" thickBot="1">
      <c r="B14" s="167"/>
      <c r="C14" s="955" t="s">
        <v>14</v>
      </c>
      <c r="D14" s="956"/>
      <c r="E14" s="956"/>
      <c r="F14" s="956"/>
      <c r="G14" s="956"/>
      <c r="H14" s="956"/>
      <c r="I14" s="956"/>
      <c r="J14" s="956"/>
      <c r="K14" s="956"/>
      <c r="L14" s="957"/>
      <c r="M14" s="170"/>
    </row>
    <row r="15" spans="2:64" s="184" customFormat="1" ht="66.75" customHeight="1" thickBot="1">
      <c r="B15" s="178"/>
      <c r="C15" s="179" t="s">
        <v>15</v>
      </c>
      <c r="D15" s="180" t="s">
        <v>115</v>
      </c>
      <c r="E15" s="181" t="s">
        <v>37</v>
      </c>
      <c r="F15" s="181" t="s">
        <v>16</v>
      </c>
      <c r="G15" s="181" t="s">
        <v>17</v>
      </c>
      <c r="H15" s="181" t="s">
        <v>18</v>
      </c>
      <c r="I15" s="181" t="s">
        <v>19</v>
      </c>
      <c r="J15" s="181" t="s">
        <v>20</v>
      </c>
      <c r="K15" s="181" t="s">
        <v>13</v>
      </c>
      <c r="L15" s="182" t="s">
        <v>15</v>
      </c>
      <c r="M15" s="183"/>
    </row>
    <row r="16" spans="2:64" ht="15" customHeight="1">
      <c r="B16" s="167"/>
      <c r="C16" s="185">
        <v>0</v>
      </c>
      <c r="D16" s="580">
        <f>E5</f>
        <v>0</v>
      </c>
      <c r="E16" s="249">
        <v>0</v>
      </c>
      <c r="F16" s="249">
        <f>0-D16</f>
        <v>0</v>
      </c>
      <c r="G16" s="250">
        <f>F16</f>
        <v>0</v>
      </c>
      <c r="H16" s="251" t="s">
        <v>21</v>
      </c>
      <c r="I16" s="250">
        <f>F16</f>
        <v>0</v>
      </c>
      <c r="J16" s="250">
        <f>I16</f>
        <v>0</v>
      </c>
      <c r="K16" s="252" t="s">
        <v>74</v>
      </c>
      <c r="L16" s="185">
        <f t="shared" ref="L16:L39" si="0">+C16</f>
        <v>0</v>
      </c>
      <c r="M16" s="170"/>
    </row>
    <row r="17" spans="2:13" ht="15" customHeight="1">
      <c r="B17" s="167"/>
      <c r="C17" s="187">
        <v>1</v>
      </c>
      <c r="D17" s="186"/>
      <c r="E17" s="249">
        <f>'5. Apoio reembolsável'!D7</f>
        <v>0</v>
      </c>
      <c r="F17" s="249">
        <f>E17-D17</f>
        <v>0</v>
      </c>
      <c r="G17" s="253">
        <f>IF(F17=0,0,F17+G16)</f>
        <v>0</v>
      </c>
      <c r="H17" s="254">
        <f t="shared" ref="H17:H41" si="1">(1+$E$7)^(-C17)</f>
        <v>0.96153846153846145</v>
      </c>
      <c r="I17" s="253">
        <f>F17*H17</f>
        <v>0</v>
      </c>
      <c r="J17" s="253">
        <f>IF(I17=0,0,I17+J16)</f>
        <v>0</v>
      </c>
      <c r="K17" s="255" t="str">
        <f>IF(J17=0,"",IRR($F$16:F17))</f>
        <v/>
      </c>
      <c r="L17" s="187">
        <f t="shared" si="0"/>
        <v>1</v>
      </c>
      <c r="M17" s="170"/>
    </row>
    <row r="18" spans="2:13" ht="15" customHeight="1">
      <c r="B18" s="167"/>
      <c r="C18" s="187">
        <v>2</v>
      </c>
      <c r="D18" s="186"/>
      <c r="E18" s="249">
        <f>'5. Apoio reembolsável'!E7</f>
        <v>0</v>
      </c>
      <c r="F18" s="249">
        <f>E18-D18</f>
        <v>0</v>
      </c>
      <c r="G18" s="253">
        <f>IF(F18=0,0,F18+G17)</f>
        <v>0</v>
      </c>
      <c r="H18" s="254">
        <f t="shared" si="1"/>
        <v>0.92455621301775137</v>
      </c>
      <c r="I18" s="253">
        <f t="shared" ref="I18:I31" si="2">F18*H18</f>
        <v>0</v>
      </c>
      <c r="J18" s="253">
        <f t="shared" ref="J18:J31" si="3">IF(I18=0,0,I18+J17)</f>
        <v>0</v>
      </c>
      <c r="K18" s="255" t="str">
        <f>IF(J18=0,"",IRR($F$16:F18))</f>
        <v/>
      </c>
      <c r="L18" s="187">
        <f t="shared" si="0"/>
        <v>2</v>
      </c>
      <c r="M18" s="170"/>
    </row>
    <row r="19" spans="2:13" ht="15" customHeight="1">
      <c r="B19" s="167"/>
      <c r="C19" s="187">
        <v>3</v>
      </c>
      <c r="D19" s="186"/>
      <c r="E19" s="249">
        <f>'5. Apoio reembolsável'!F7</f>
        <v>0</v>
      </c>
      <c r="F19" s="249">
        <f t="shared" ref="F19:F41" si="4">E19-D19</f>
        <v>0</v>
      </c>
      <c r="G19" s="253">
        <f>IF(F19=0,0,F19+G18)</f>
        <v>0</v>
      </c>
      <c r="H19" s="254">
        <f t="shared" si="1"/>
        <v>0.88899635867091487</v>
      </c>
      <c r="I19" s="253">
        <f>F19*H19</f>
        <v>0</v>
      </c>
      <c r="J19" s="253">
        <f t="shared" si="3"/>
        <v>0</v>
      </c>
      <c r="K19" s="255" t="str">
        <f>IF(J19=0,"",IRR($F$16:F19))</f>
        <v/>
      </c>
      <c r="L19" s="187">
        <f t="shared" si="0"/>
        <v>3</v>
      </c>
      <c r="M19" s="170"/>
    </row>
    <row r="20" spans="2:13" ht="15" customHeight="1">
      <c r="B20" s="167"/>
      <c r="C20" s="187">
        <v>4</v>
      </c>
      <c r="D20" s="186"/>
      <c r="E20" s="249">
        <f>'5. Apoio reembolsável'!G7</f>
        <v>0</v>
      </c>
      <c r="F20" s="249">
        <f t="shared" si="4"/>
        <v>0</v>
      </c>
      <c r="G20" s="253">
        <f>IF(F20=0,0,F20+G19)</f>
        <v>0</v>
      </c>
      <c r="H20" s="254">
        <f t="shared" si="1"/>
        <v>0.85480419102972571</v>
      </c>
      <c r="I20" s="253">
        <f t="shared" si="2"/>
        <v>0</v>
      </c>
      <c r="J20" s="253">
        <f t="shared" si="3"/>
        <v>0</v>
      </c>
      <c r="K20" s="255" t="str">
        <f>IF(J20=0,"",IRR($F$16:F20))</f>
        <v/>
      </c>
      <c r="L20" s="187">
        <f t="shared" si="0"/>
        <v>4</v>
      </c>
      <c r="M20" s="170"/>
    </row>
    <row r="21" spans="2:13" ht="15" customHeight="1">
      <c r="B21" s="167"/>
      <c r="C21" s="187">
        <v>5</v>
      </c>
      <c r="D21" s="186"/>
      <c r="E21" s="249">
        <f>'5. Apoio reembolsável'!H7</f>
        <v>0</v>
      </c>
      <c r="F21" s="249">
        <f t="shared" si="4"/>
        <v>0</v>
      </c>
      <c r="G21" s="253">
        <f t="shared" ref="G21:G31" si="5">IF(F21=0,0,F21+G20)</f>
        <v>0</v>
      </c>
      <c r="H21" s="254">
        <f t="shared" si="1"/>
        <v>0.82192710675935154</v>
      </c>
      <c r="I21" s="253">
        <f t="shared" si="2"/>
        <v>0</v>
      </c>
      <c r="J21" s="253">
        <f t="shared" si="3"/>
        <v>0</v>
      </c>
      <c r="K21" s="255" t="str">
        <f>IF(J21=0,"",IRR($F$16:F21))</f>
        <v/>
      </c>
      <c r="L21" s="187">
        <f t="shared" si="0"/>
        <v>5</v>
      </c>
      <c r="M21" s="170"/>
    </row>
    <row r="22" spans="2:13" ht="15" customHeight="1">
      <c r="B22" s="167"/>
      <c r="C22" s="187">
        <v>6</v>
      </c>
      <c r="D22" s="186"/>
      <c r="E22" s="249">
        <f>'5. Apoio reembolsável'!I7</f>
        <v>0</v>
      </c>
      <c r="F22" s="249">
        <f t="shared" si="4"/>
        <v>0</v>
      </c>
      <c r="G22" s="253">
        <f t="shared" si="5"/>
        <v>0</v>
      </c>
      <c r="H22" s="254">
        <f t="shared" si="1"/>
        <v>0.79031452573014571</v>
      </c>
      <c r="I22" s="253">
        <f t="shared" si="2"/>
        <v>0</v>
      </c>
      <c r="J22" s="253">
        <f t="shared" si="3"/>
        <v>0</v>
      </c>
      <c r="K22" s="255" t="str">
        <f>IF(J22=0,"",IRR($F$16:F22))</f>
        <v/>
      </c>
      <c r="L22" s="187">
        <f t="shared" si="0"/>
        <v>6</v>
      </c>
      <c r="M22" s="170"/>
    </row>
    <row r="23" spans="2:13" ht="15" customHeight="1">
      <c r="B23" s="167"/>
      <c r="C23" s="187">
        <v>7</v>
      </c>
      <c r="D23" s="186"/>
      <c r="E23" s="249">
        <f>'5. Apoio reembolsável'!J7</f>
        <v>0</v>
      </c>
      <c r="F23" s="249">
        <f t="shared" si="4"/>
        <v>0</v>
      </c>
      <c r="G23" s="253">
        <f t="shared" si="5"/>
        <v>0</v>
      </c>
      <c r="H23" s="254">
        <f t="shared" si="1"/>
        <v>0.75991781320206331</v>
      </c>
      <c r="I23" s="253">
        <f t="shared" si="2"/>
        <v>0</v>
      </c>
      <c r="J23" s="253">
        <f t="shared" si="3"/>
        <v>0</v>
      </c>
      <c r="K23" s="255" t="str">
        <f>IF(J23=0,"",IRR($F$16:F23))</f>
        <v/>
      </c>
      <c r="L23" s="187">
        <f t="shared" si="0"/>
        <v>7</v>
      </c>
      <c r="M23" s="170"/>
    </row>
    <row r="24" spans="2:13" ht="15" customHeight="1">
      <c r="B24" s="167"/>
      <c r="C24" s="187">
        <v>8</v>
      </c>
      <c r="D24" s="186"/>
      <c r="E24" s="249">
        <f>'5. Apoio reembolsável'!K7</f>
        <v>0</v>
      </c>
      <c r="F24" s="249">
        <f t="shared" si="4"/>
        <v>0</v>
      </c>
      <c r="G24" s="253">
        <f t="shared" si="5"/>
        <v>0</v>
      </c>
      <c r="H24" s="254">
        <f t="shared" si="1"/>
        <v>0.73069020500198378</v>
      </c>
      <c r="I24" s="253">
        <f t="shared" si="2"/>
        <v>0</v>
      </c>
      <c r="J24" s="253">
        <f t="shared" si="3"/>
        <v>0</v>
      </c>
      <c r="K24" s="255" t="str">
        <f>IF(J24=0,"",IRR($F$16:F24))</f>
        <v/>
      </c>
      <c r="L24" s="187">
        <f t="shared" si="0"/>
        <v>8</v>
      </c>
      <c r="M24" s="170"/>
    </row>
    <row r="25" spans="2:13" ht="15" customHeight="1">
      <c r="B25" s="167"/>
      <c r="C25" s="187">
        <v>9</v>
      </c>
      <c r="D25" s="186"/>
      <c r="E25" s="249">
        <f>'5. Apoio reembolsável'!L7</f>
        <v>0</v>
      </c>
      <c r="F25" s="249">
        <f t="shared" si="4"/>
        <v>0</v>
      </c>
      <c r="G25" s="253">
        <f t="shared" si="5"/>
        <v>0</v>
      </c>
      <c r="H25" s="254">
        <f t="shared" si="1"/>
        <v>0.70258673557883045</v>
      </c>
      <c r="I25" s="253">
        <f t="shared" si="2"/>
        <v>0</v>
      </c>
      <c r="J25" s="253">
        <f t="shared" si="3"/>
        <v>0</v>
      </c>
      <c r="K25" s="255" t="str">
        <f>IF(J25=0,"",IRR($F$16:F25))</f>
        <v/>
      </c>
      <c r="L25" s="187">
        <f t="shared" si="0"/>
        <v>9</v>
      </c>
      <c r="M25" s="170"/>
    </row>
    <row r="26" spans="2:13" ht="15" customHeight="1">
      <c r="B26" s="167"/>
      <c r="C26" s="187">
        <v>10</v>
      </c>
      <c r="D26" s="186"/>
      <c r="E26" s="249">
        <f>'5. Apoio reembolsável'!M7</f>
        <v>0</v>
      </c>
      <c r="F26" s="249">
        <f t="shared" si="4"/>
        <v>0</v>
      </c>
      <c r="G26" s="253">
        <f t="shared" si="5"/>
        <v>0</v>
      </c>
      <c r="H26" s="254">
        <f t="shared" si="1"/>
        <v>0.67556416882579851</v>
      </c>
      <c r="I26" s="253">
        <f t="shared" si="2"/>
        <v>0</v>
      </c>
      <c r="J26" s="253">
        <f t="shared" si="3"/>
        <v>0</v>
      </c>
      <c r="K26" s="255" t="str">
        <f>IF(J26=0,"",IRR($F$16:F26))</f>
        <v/>
      </c>
      <c r="L26" s="187">
        <f t="shared" si="0"/>
        <v>10</v>
      </c>
      <c r="M26" s="170"/>
    </row>
    <row r="27" spans="2:13" ht="15" customHeight="1">
      <c r="B27" s="167"/>
      <c r="C27" s="187">
        <v>11</v>
      </c>
      <c r="D27" s="186"/>
      <c r="E27" s="249">
        <f>'5. Apoio reembolsável'!N7</f>
        <v>0</v>
      </c>
      <c r="F27" s="249">
        <f t="shared" si="4"/>
        <v>0</v>
      </c>
      <c r="G27" s="253">
        <f t="shared" si="5"/>
        <v>0</v>
      </c>
      <c r="H27" s="254">
        <f t="shared" si="1"/>
        <v>0.6495809315632679</v>
      </c>
      <c r="I27" s="253">
        <f t="shared" si="2"/>
        <v>0</v>
      </c>
      <c r="J27" s="253">
        <f t="shared" si="3"/>
        <v>0</v>
      </c>
      <c r="K27" s="255" t="str">
        <f>IF(J27=0,"",IRR($F$16:F27))</f>
        <v/>
      </c>
      <c r="L27" s="187">
        <f t="shared" si="0"/>
        <v>11</v>
      </c>
      <c r="M27" s="170"/>
    </row>
    <row r="28" spans="2:13" ht="15" customHeight="1">
      <c r="B28" s="167"/>
      <c r="C28" s="187">
        <v>12</v>
      </c>
      <c r="D28" s="186"/>
      <c r="E28" s="249">
        <f>'5. Apoio reembolsável'!O7</f>
        <v>0</v>
      </c>
      <c r="F28" s="249">
        <f t="shared" si="4"/>
        <v>0</v>
      </c>
      <c r="G28" s="253">
        <f t="shared" si="5"/>
        <v>0</v>
      </c>
      <c r="H28" s="254">
        <f t="shared" si="1"/>
        <v>0.62459704958006512</v>
      </c>
      <c r="I28" s="253">
        <f t="shared" si="2"/>
        <v>0</v>
      </c>
      <c r="J28" s="253">
        <f t="shared" si="3"/>
        <v>0</v>
      </c>
      <c r="K28" s="255" t="str">
        <f>IF(J28=0,"",IRR($F$16:F28))</f>
        <v/>
      </c>
      <c r="L28" s="187">
        <f t="shared" si="0"/>
        <v>12</v>
      </c>
      <c r="M28" s="170"/>
    </row>
    <row r="29" spans="2:13" ht="15" customHeight="1">
      <c r="B29" s="167"/>
      <c r="C29" s="187">
        <v>13</v>
      </c>
      <c r="D29" s="186"/>
      <c r="E29" s="249">
        <f>'5. Apoio reembolsável'!P7</f>
        <v>0</v>
      </c>
      <c r="F29" s="249">
        <f t="shared" si="4"/>
        <v>0</v>
      </c>
      <c r="G29" s="253">
        <f t="shared" si="5"/>
        <v>0</v>
      </c>
      <c r="H29" s="254">
        <f t="shared" si="1"/>
        <v>0.600574086134678</v>
      </c>
      <c r="I29" s="253">
        <f t="shared" si="2"/>
        <v>0</v>
      </c>
      <c r="J29" s="253">
        <f t="shared" si="3"/>
        <v>0</v>
      </c>
      <c r="K29" s="255" t="str">
        <f>IF(J29=0,"",IRR($F$16:F29))</f>
        <v/>
      </c>
      <c r="L29" s="187">
        <f t="shared" si="0"/>
        <v>13</v>
      </c>
      <c r="M29" s="170"/>
    </row>
    <row r="30" spans="2:13" ht="15" customHeight="1">
      <c r="B30" s="167"/>
      <c r="C30" s="187">
        <v>14</v>
      </c>
      <c r="D30" s="186"/>
      <c r="E30" s="249">
        <f>'5. Apoio reembolsável'!Q7</f>
        <v>0</v>
      </c>
      <c r="F30" s="249">
        <f t="shared" si="4"/>
        <v>0</v>
      </c>
      <c r="G30" s="253">
        <f t="shared" si="5"/>
        <v>0</v>
      </c>
      <c r="H30" s="254">
        <f t="shared" si="1"/>
        <v>0.57747508282180582</v>
      </c>
      <c r="I30" s="253">
        <f t="shared" si="2"/>
        <v>0</v>
      </c>
      <c r="J30" s="253">
        <f t="shared" si="3"/>
        <v>0</v>
      </c>
      <c r="K30" s="255" t="str">
        <f>IF(J30=0,"",IRR($F$16:F30))</f>
        <v/>
      </c>
      <c r="L30" s="187">
        <f t="shared" si="0"/>
        <v>14</v>
      </c>
      <c r="M30" s="170"/>
    </row>
    <row r="31" spans="2:13" ht="15" customHeight="1">
      <c r="B31" s="167"/>
      <c r="C31" s="187">
        <v>15</v>
      </c>
      <c r="D31" s="186"/>
      <c r="E31" s="249">
        <f>'5. Apoio reembolsável'!R7</f>
        <v>0</v>
      </c>
      <c r="F31" s="249">
        <f t="shared" si="4"/>
        <v>0</v>
      </c>
      <c r="G31" s="253">
        <f t="shared" si="5"/>
        <v>0</v>
      </c>
      <c r="H31" s="254">
        <f t="shared" si="1"/>
        <v>0.55526450271327477</v>
      </c>
      <c r="I31" s="253">
        <f t="shared" si="2"/>
        <v>0</v>
      </c>
      <c r="J31" s="253">
        <f t="shared" si="3"/>
        <v>0</v>
      </c>
      <c r="K31" s="255" t="str">
        <f>IF(J31=0,"",IRR($F$16:F31))</f>
        <v/>
      </c>
      <c r="L31" s="187">
        <f t="shared" si="0"/>
        <v>15</v>
      </c>
      <c r="M31" s="170"/>
    </row>
    <row r="32" spans="2:13">
      <c r="B32" s="167"/>
      <c r="C32" s="187">
        <v>16</v>
      </c>
      <c r="D32" s="186"/>
      <c r="E32" s="249">
        <f>'5. Apoio reembolsável'!S7</f>
        <v>0</v>
      </c>
      <c r="F32" s="249">
        <f t="shared" si="4"/>
        <v>0</v>
      </c>
      <c r="G32" s="253">
        <f t="shared" ref="G32:G41" si="6">IF(F32=0,0,F32+G31)</f>
        <v>0</v>
      </c>
      <c r="H32" s="254">
        <f t="shared" si="1"/>
        <v>0.53390817568584104</v>
      </c>
      <c r="I32" s="253">
        <f t="shared" ref="I32:I41" si="7">F32*H32</f>
        <v>0</v>
      </c>
      <c r="J32" s="253">
        <f t="shared" ref="J32:J41" si="8">IF(I32=0,0,I32+J31)</f>
        <v>0</v>
      </c>
      <c r="K32" s="255" t="str">
        <f>IF(J32=0,"",IRR($F$16:F32))</f>
        <v/>
      </c>
      <c r="L32" s="187">
        <f t="shared" si="0"/>
        <v>16</v>
      </c>
      <c r="M32" s="170"/>
    </row>
    <row r="33" spans="2:13">
      <c r="B33" s="167"/>
      <c r="C33" s="187">
        <v>17</v>
      </c>
      <c r="D33" s="186"/>
      <c r="E33" s="249">
        <f>'5. Apoio reembolsável'!T7</f>
        <v>0</v>
      </c>
      <c r="F33" s="249">
        <f t="shared" si="4"/>
        <v>0</v>
      </c>
      <c r="G33" s="253">
        <f t="shared" si="6"/>
        <v>0</v>
      </c>
      <c r="H33" s="254">
        <f t="shared" si="1"/>
        <v>0.51337324585177024</v>
      </c>
      <c r="I33" s="253">
        <f t="shared" si="7"/>
        <v>0</v>
      </c>
      <c r="J33" s="253">
        <f t="shared" si="8"/>
        <v>0</v>
      </c>
      <c r="K33" s="255" t="str">
        <f>IF(J33=0,"",IRR($F$16:F33))</f>
        <v/>
      </c>
      <c r="L33" s="187">
        <f t="shared" si="0"/>
        <v>17</v>
      </c>
      <c r="M33" s="170"/>
    </row>
    <row r="34" spans="2:13">
      <c r="B34" s="167"/>
      <c r="C34" s="187">
        <v>18</v>
      </c>
      <c r="D34" s="186"/>
      <c r="E34" s="249">
        <f>'5. Apoio reembolsável'!U7</f>
        <v>0</v>
      </c>
      <c r="F34" s="249">
        <f t="shared" si="4"/>
        <v>0</v>
      </c>
      <c r="G34" s="253">
        <f t="shared" si="6"/>
        <v>0</v>
      </c>
      <c r="H34" s="254">
        <f t="shared" si="1"/>
        <v>0.49362812101131748</v>
      </c>
      <c r="I34" s="253">
        <f t="shared" si="7"/>
        <v>0</v>
      </c>
      <c r="J34" s="253">
        <f t="shared" si="8"/>
        <v>0</v>
      </c>
      <c r="K34" s="255" t="str">
        <f>IF(J34=0,"",IRR($F$16:F34))</f>
        <v/>
      </c>
      <c r="L34" s="187">
        <f t="shared" si="0"/>
        <v>18</v>
      </c>
      <c r="M34" s="170"/>
    </row>
    <row r="35" spans="2:13">
      <c r="B35" s="167"/>
      <c r="C35" s="187">
        <v>19</v>
      </c>
      <c r="D35" s="186"/>
      <c r="E35" s="249">
        <f>'5. Apoio reembolsável'!V7</f>
        <v>0</v>
      </c>
      <c r="F35" s="249">
        <f t="shared" si="4"/>
        <v>0</v>
      </c>
      <c r="G35" s="253">
        <f t="shared" si="6"/>
        <v>0</v>
      </c>
      <c r="H35" s="254">
        <f t="shared" si="1"/>
        <v>0.47464242404934376</v>
      </c>
      <c r="I35" s="253">
        <f t="shared" si="7"/>
        <v>0</v>
      </c>
      <c r="J35" s="253">
        <f t="shared" si="8"/>
        <v>0</v>
      </c>
      <c r="K35" s="255" t="str">
        <f>IF(J35=0,"",IRR($F$16:F35))</f>
        <v/>
      </c>
      <c r="L35" s="187">
        <f t="shared" si="0"/>
        <v>19</v>
      </c>
      <c r="M35" s="170"/>
    </row>
    <row r="36" spans="2:13">
      <c r="B36" s="167"/>
      <c r="C36" s="187">
        <v>20</v>
      </c>
      <c r="D36" s="186"/>
      <c r="E36" s="249">
        <f>'5. Apoio reembolsável'!W7</f>
        <v>0</v>
      </c>
      <c r="F36" s="249">
        <f t="shared" si="4"/>
        <v>0</v>
      </c>
      <c r="G36" s="253">
        <f t="shared" si="6"/>
        <v>0</v>
      </c>
      <c r="H36" s="254">
        <f t="shared" si="1"/>
        <v>0.45638694620129205</v>
      </c>
      <c r="I36" s="253">
        <f t="shared" si="7"/>
        <v>0</v>
      </c>
      <c r="J36" s="253">
        <f t="shared" si="8"/>
        <v>0</v>
      </c>
      <c r="K36" s="255" t="str">
        <f>IF(J36=0,"",IRR($F$16:F36))</f>
        <v/>
      </c>
      <c r="L36" s="187">
        <f t="shared" si="0"/>
        <v>20</v>
      </c>
      <c r="M36" s="170"/>
    </row>
    <row r="37" spans="2:13">
      <c r="B37" s="167"/>
      <c r="C37" s="187">
        <v>21</v>
      </c>
      <c r="D37" s="186"/>
      <c r="E37" s="249">
        <f>'5. Apoio reembolsável'!X7</f>
        <v>0</v>
      </c>
      <c r="F37" s="249">
        <f t="shared" si="4"/>
        <v>0</v>
      </c>
      <c r="G37" s="253">
        <f t="shared" si="6"/>
        <v>0</v>
      </c>
      <c r="H37" s="254">
        <f t="shared" si="1"/>
        <v>0.43883360211662686</v>
      </c>
      <c r="I37" s="253">
        <f t="shared" si="7"/>
        <v>0</v>
      </c>
      <c r="J37" s="253">
        <f t="shared" si="8"/>
        <v>0</v>
      </c>
      <c r="K37" s="255" t="str">
        <f>IF(J37=0,"",IRR($F$16:F37))</f>
        <v/>
      </c>
      <c r="L37" s="187">
        <f t="shared" si="0"/>
        <v>21</v>
      </c>
      <c r="M37" s="170"/>
    </row>
    <row r="38" spans="2:13">
      <c r="B38" s="167"/>
      <c r="C38" s="187">
        <v>22</v>
      </c>
      <c r="D38" s="186"/>
      <c r="E38" s="249">
        <f>'5. Apoio reembolsável'!Y7</f>
        <v>0</v>
      </c>
      <c r="F38" s="249">
        <f t="shared" si="4"/>
        <v>0</v>
      </c>
      <c r="G38" s="253">
        <f t="shared" si="6"/>
        <v>0</v>
      </c>
      <c r="H38" s="254">
        <f t="shared" si="1"/>
        <v>0.42195538665060278</v>
      </c>
      <c r="I38" s="253">
        <f t="shared" si="7"/>
        <v>0</v>
      </c>
      <c r="J38" s="253">
        <f t="shared" si="8"/>
        <v>0</v>
      </c>
      <c r="K38" s="255" t="str">
        <f>IF(J38=0,"",IRR($F$16:F38))</f>
        <v/>
      </c>
      <c r="L38" s="187">
        <f t="shared" si="0"/>
        <v>22</v>
      </c>
      <c r="M38" s="170"/>
    </row>
    <row r="39" spans="2:13">
      <c r="B39" s="167"/>
      <c r="C39" s="187">
        <v>23</v>
      </c>
      <c r="D39" s="186"/>
      <c r="E39" s="249">
        <f>'5. Apoio reembolsável'!Z7</f>
        <v>0</v>
      </c>
      <c r="F39" s="249">
        <f t="shared" si="4"/>
        <v>0</v>
      </c>
      <c r="G39" s="253">
        <f t="shared" si="6"/>
        <v>0</v>
      </c>
      <c r="H39" s="254">
        <f t="shared" si="1"/>
        <v>0.40572633331788732</v>
      </c>
      <c r="I39" s="253">
        <f t="shared" si="7"/>
        <v>0</v>
      </c>
      <c r="J39" s="253">
        <f t="shared" si="8"/>
        <v>0</v>
      </c>
      <c r="K39" s="255" t="str">
        <f>IF(J39=0,"",IRR($F$16:F39))</f>
        <v/>
      </c>
      <c r="L39" s="187">
        <f t="shared" si="0"/>
        <v>23</v>
      </c>
      <c r="M39" s="170"/>
    </row>
    <row r="40" spans="2:13">
      <c r="B40" s="167"/>
      <c r="C40" s="187">
        <v>24</v>
      </c>
      <c r="D40" s="186"/>
      <c r="E40" s="249">
        <f>'5. Apoio reembolsável'!AA7</f>
        <v>0</v>
      </c>
      <c r="F40" s="249">
        <f t="shared" si="4"/>
        <v>0</v>
      </c>
      <c r="G40" s="253">
        <f t="shared" si="6"/>
        <v>0</v>
      </c>
      <c r="H40" s="254">
        <f t="shared" si="1"/>
        <v>0.39012147434412242</v>
      </c>
      <c r="I40" s="253">
        <f t="shared" si="7"/>
        <v>0</v>
      </c>
      <c r="J40" s="253">
        <f t="shared" si="8"/>
        <v>0</v>
      </c>
      <c r="K40" s="255" t="str">
        <f>IF(J40=0,"",IRR($F$16:F40))</f>
        <v/>
      </c>
      <c r="L40" s="187">
        <f>+C40</f>
        <v>24</v>
      </c>
      <c r="M40" s="170"/>
    </row>
    <row r="41" spans="2:13" ht="12.75" thickBot="1">
      <c r="B41" s="167"/>
      <c r="C41" s="581">
        <v>25</v>
      </c>
      <c r="D41" s="582"/>
      <c r="E41" s="583">
        <f>'5. Apoio reembolsável'!AB7</f>
        <v>0</v>
      </c>
      <c r="F41" s="583">
        <f t="shared" si="4"/>
        <v>0</v>
      </c>
      <c r="G41" s="584">
        <f t="shared" si="6"/>
        <v>0</v>
      </c>
      <c r="H41" s="585">
        <f t="shared" si="1"/>
        <v>0.37511680225396377</v>
      </c>
      <c r="I41" s="584">
        <f t="shared" si="7"/>
        <v>0</v>
      </c>
      <c r="J41" s="584">
        <f t="shared" si="8"/>
        <v>0</v>
      </c>
      <c r="K41" s="586" t="str">
        <f>IF(J41=0,"",IRR($F$16:F41))</f>
        <v/>
      </c>
      <c r="L41" s="581">
        <f>+C41</f>
        <v>25</v>
      </c>
      <c r="M41" s="170"/>
    </row>
    <row r="42" spans="2:13" ht="12.75" thickBot="1">
      <c r="B42" s="188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90"/>
    </row>
  </sheetData>
  <sheetProtection password="CCE5" sheet="1" objects="1" scenarios="1" insertRows="0" selectLockedCells="1"/>
  <protectedRanges>
    <protectedRange sqref="D17:D41" name="FolhaVAL"/>
  </protectedRanges>
  <mergeCells count="7">
    <mergeCell ref="C3:E3"/>
    <mergeCell ref="C14:L14"/>
    <mergeCell ref="C5:D5"/>
    <mergeCell ref="C6:D6"/>
    <mergeCell ref="C7:D7"/>
    <mergeCell ref="C8:D8"/>
    <mergeCell ref="C9:D9"/>
  </mergeCells>
  <dataValidations count="1">
    <dataValidation type="decimal" operator="greaterThanOrEqual" allowBlank="1" showInputMessage="1" showErrorMessage="1" error="Introduzir número positivo" sqref="D17:D41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5</vt:i4>
      </vt:variant>
    </vt:vector>
  </HeadingPairs>
  <TitlesOfParts>
    <vt:vector size="16" baseType="lpstr">
      <vt:lpstr>0.Ajuda</vt:lpstr>
      <vt:lpstr>1. Identificação Ben. Oper.</vt:lpstr>
      <vt:lpstr>2. Medidas c)</vt:lpstr>
      <vt:lpstr>3. Medidas d)</vt:lpstr>
      <vt:lpstr>4. Outras despesas art. 7º</vt:lpstr>
      <vt:lpstr>5. Apoio reembolsável</vt:lpstr>
      <vt:lpstr>6. Indicadores</vt:lpstr>
      <vt:lpstr>7. Mérito da Operação IP</vt:lpstr>
      <vt:lpstr>8. VAL Global até 25 anos</vt:lpstr>
      <vt:lpstr>9. Fatores de conversão</vt:lpstr>
      <vt:lpstr>Aviso MP_Tip c)</vt:lpstr>
      <vt:lpstr>'7. Mérito da Operação IP'!Área_de_Impressão</vt:lpstr>
      <vt:lpstr>'Aviso MP_Tip c)'!Área_de_Impressão</vt:lpstr>
      <vt:lpstr>POR_Centro</vt:lpstr>
      <vt:lpstr>Taxas_NãoReemb_Superior1M€</vt:lpstr>
      <vt:lpstr>'Aviso MP_Tip c)'!Títulos_de_Impressão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Joaquina Simsim</cp:lastModifiedBy>
  <cp:lastPrinted>2018-05-21T08:26:19Z</cp:lastPrinted>
  <dcterms:created xsi:type="dcterms:W3CDTF">2016-05-18T21:16:05Z</dcterms:created>
  <dcterms:modified xsi:type="dcterms:W3CDTF">2019-11-06T18:24:16Z</dcterms:modified>
</cp:coreProperties>
</file>